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ockafellow\My ShareSync\Jake - Personal\Knowing Your Cost of Manufacturing\"/>
    </mc:Choice>
  </mc:AlternateContent>
  <xr:revisionPtr revIDLastSave="0" documentId="8_{9192A96D-4D68-41FF-9A30-1956C4EE39DC}" xr6:coauthVersionLast="47" xr6:coauthVersionMax="47" xr10:uidLastSave="{00000000-0000-0000-0000-000000000000}"/>
  <bookViews>
    <workbookView xWindow="28680" yWindow="-120" windowWidth="29040" windowHeight="15720" firstSheet="1" activeTab="5" xr2:uid="{559E9A7C-FE3F-4D5B-8610-2015CC7FB035}"/>
  </bookViews>
  <sheets>
    <sheet name="COA" sheetId="10" r:id="rId1"/>
    <sheet name="BS and P&amp;L" sheetId="11" r:id="rId2"/>
    <sheet name="STEP 1 - Manpower Budget" sheetId="5" r:id="rId3"/>
    <sheet name="STEP 2 - Efficiency Budget" sheetId="3" r:id="rId4"/>
    <sheet name="STEP 3 - Cost Summary Template" sheetId="8" r:id="rId5"/>
    <sheet name="STEP 4 - Quotation Template" sheetId="9" r:id="rId6"/>
  </sheets>
  <externalReferences>
    <externalReference r:id="rId7"/>
  </externalReferences>
  <definedNames>
    <definedName name="_xlnm._FilterDatabase" localSheetId="0" hidden="1">COA!$A$3:$C$107</definedName>
    <definedName name="MONTHEND">'[1]Trial Balance'!$K$1</definedName>
    <definedName name="TB">'[1]Trial Balance'!$A$5:$B$245</definedName>
    <definedName name="Trial">'[1]Trial Balance'!$S$5:$U$182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9" l="1"/>
  <c r="T35" i="5"/>
  <c r="S35" i="5"/>
  <c r="G181" i="11"/>
  <c r="H181" i="11"/>
  <c r="F181" i="11"/>
  <c r="F129" i="11"/>
  <c r="H127" i="11"/>
  <c r="G127" i="11"/>
  <c r="F127" i="11"/>
  <c r="H99" i="11"/>
  <c r="G99" i="11"/>
  <c r="F99" i="11"/>
  <c r="G79" i="11"/>
  <c r="H79" i="11"/>
  <c r="F79" i="11"/>
  <c r="P45" i="11"/>
  <c r="O45" i="11"/>
  <c r="Q44" i="11"/>
  <c r="Q41" i="11"/>
  <c r="Q38" i="11"/>
  <c r="P35" i="11"/>
  <c r="O35" i="11"/>
  <c r="Q33" i="11"/>
  <c r="Q31" i="11"/>
  <c r="Q29" i="11"/>
  <c r="P26" i="11"/>
  <c r="O26" i="11"/>
  <c r="Q26" i="11" s="1"/>
  <c r="Q24" i="11"/>
  <c r="Q19" i="11"/>
  <c r="Q17" i="11"/>
  <c r="Q15" i="11"/>
  <c r="Q13" i="11"/>
  <c r="Q11" i="11"/>
  <c r="H55" i="11"/>
  <c r="G59" i="11"/>
  <c r="F59" i="11"/>
  <c r="H53" i="11"/>
  <c r="H49" i="11"/>
  <c r="H46" i="11"/>
  <c r="H44" i="11"/>
  <c r="H42" i="11"/>
  <c r="H40" i="11"/>
  <c r="H38" i="11"/>
  <c r="H36" i="11"/>
  <c r="G48" i="11"/>
  <c r="G51" i="11" s="1"/>
  <c r="F48" i="11"/>
  <c r="F51" i="11" s="1"/>
  <c r="G27" i="11"/>
  <c r="F27" i="11"/>
  <c r="H29" i="11"/>
  <c r="H25" i="11"/>
  <c r="H23" i="11"/>
  <c r="H21" i="11"/>
  <c r="H16" i="11"/>
  <c r="H14" i="11"/>
  <c r="G18" i="11"/>
  <c r="G33" i="11" s="1"/>
  <c r="F18" i="11"/>
  <c r="H11" i="11"/>
  <c r="G129" i="11" l="1"/>
  <c r="G131" i="11" s="1"/>
  <c r="G183" i="11" s="1"/>
  <c r="G185" i="11" s="1"/>
  <c r="F131" i="11"/>
  <c r="F183" i="11" s="1"/>
  <c r="F185" i="11" s="1"/>
  <c r="H129" i="11"/>
  <c r="H131" i="11"/>
  <c r="H183" i="11" s="1"/>
  <c r="H185" i="11" s="1"/>
  <c r="H18" i="11"/>
  <c r="H27" i="11"/>
  <c r="Q45" i="11"/>
  <c r="O47" i="11"/>
  <c r="P47" i="11"/>
  <c r="G61" i="11"/>
  <c r="Q35" i="11"/>
  <c r="H59" i="11"/>
  <c r="H51" i="11"/>
  <c r="H48" i="11"/>
  <c r="F33" i="11"/>
  <c r="Q47" i="11" l="1"/>
  <c r="H33" i="11"/>
  <c r="F61" i="11"/>
  <c r="H61" i="11" s="1"/>
  <c r="E23" i="3" l="1"/>
  <c r="E24" i="3"/>
  <c r="E22" i="3"/>
  <c r="D16" i="3"/>
  <c r="D17" i="3"/>
  <c r="D18" i="3"/>
  <c r="F18" i="3" s="1"/>
  <c r="D19" i="3"/>
  <c r="D20" i="3"/>
  <c r="D21" i="3"/>
  <c r="D23" i="3"/>
  <c r="D24" i="3"/>
  <c r="F24" i="3" s="1"/>
  <c r="D22" i="3"/>
  <c r="F22" i="3" s="1"/>
  <c r="H17" i="3"/>
  <c r="I17" i="3"/>
  <c r="K17" i="3" s="1"/>
  <c r="H18" i="3"/>
  <c r="I18" i="3"/>
  <c r="H19" i="3"/>
  <c r="I19" i="3"/>
  <c r="H20" i="3"/>
  <c r="I20" i="3"/>
  <c r="H21" i="3"/>
  <c r="I21" i="3"/>
  <c r="T25" i="5"/>
  <c r="A70" i="10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H16" i="3"/>
  <c r="F45" i="9"/>
  <c r="F43" i="9"/>
  <c r="F27" i="9"/>
  <c r="F26" i="9"/>
  <c r="F23" i="9"/>
  <c r="D19" i="9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C16" i="3"/>
  <c r="B16" i="3"/>
  <c r="U25" i="5"/>
  <c r="K25" i="5"/>
  <c r="I18" i="5"/>
  <c r="R18" i="5" s="1"/>
  <c r="R21" i="5"/>
  <c r="I22" i="5"/>
  <c r="R22" i="5" s="1"/>
  <c r="I23" i="5"/>
  <c r="R23" i="5" s="1"/>
  <c r="L23" i="5"/>
  <c r="M23" i="5" s="1"/>
  <c r="L22" i="5"/>
  <c r="M22" i="5" s="1"/>
  <c r="L21" i="5"/>
  <c r="M21" i="5" s="1"/>
  <c r="L20" i="5"/>
  <c r="M20" i="5" s="1"/>
  <c r="I20" i="5"/>
  <c r="R20" i="5" s="1"/>
  <c r="L19" i="5"/>
  <c r="M19" i="5" s="1"/>
  <c r="I19" i="5"/>
  <c r="R19" i="5" s="1"/>
  <c r="L18" i="5"/>
  <c r="M18" i="5" s="1"/>
  <c r="L17" i="5"/>
  <c r="M17" i="5" s="1"/>
  <c r="I17" i="5"/>
  <c r="R17" i="5" s="1"/>
  <c r="L16" i="5"/>
  <c r="M16" i="5" s="1"/>
  <c r="I16" i="5"/>
  <c r="R16" i="5" s="1"/>
  <c r="L15" i="5"/>
  <c r="M15" i="5" s="1"/>
  <c r="G15" i="5"/>
  <c r="I15" i="5" s="1"/>
  <c r="R15" i="5" s="1"/>
  <c r="J26" i="3"/>
  <c r="I16" i="3"/>
  <c r="I28" i="5" l="1"/>
  <c r="I29" i="5"/>
  <c r="F23" i="3"/>
  <c r="S18" i="3"/>
  <c r="U18" i="3"/>
  <c r="V18" i="3"/>
  <c r="F17" i="3"/>
  <c r="F16" i="3"/>
  <c r="N17" i="3"/>
  <c r="F21" i="3"/>
  <c r="F20" i="3"/>
  <c r="F19" i="3"/>
  <c r="F28" i="9"/>
  <c r="F38" i="9"/>
  <c r="K22" i="3"/>
  <c r="K23" i="3"/>
  <c r="K24" i="3"/>
  <c r="K18" i="3"/>
  <c r="N18" i="3" s="1"/>
  <c r="K19" i="3"/>
  <c r="N19" i="3" s="1"/>
  <c r="K20" i="3"/>
  <c r="N20" i="3" s="1"/>
  <c r="K21" i="3"/>
  <c r="N21" i="3" s="1"/>
  <c r="I26" i="3"/>
  <c r="R25" i="5"/>
  <c r="M25" i="5"/>
  <c r="G25" i="5"/>
  <c r="I25" i="5"/>
  <c r="O23" i="5"/>
  <c r="O29" i="5" s="1"/>
  <c r="B25" i="8" s="1"/>
  <c r="O16" i="5"/>
  <c r="O22" i="5"/>
  <c r="O19" i="5"/>
  <c r="O20" i="5"/>
  <c r="O21" i="5"/>
  <c r="O17" i="5"/>
  <c r="O18" i="5"/>
  <c r="O15" i="5"/>
  <c r="H26" i="3"/>
  <c r="K16" i="3"/>
  <c r="N16" i="3" s="1"/>
  <c r="E26" i="3"/>
  <c r="O28" i="5" l="1"/>
  <c r="I30" i="5"/>
  <c r="I31" i="5" s="1"/>
  <c r="V21" i="3"/>
  <c r="S21" i="3"/>
  <c r="U21" i="3"/>
  <c r="S20" i="3"/>
  <c r="V20" i="3"/>
  <c r="U20" i="3"/>
  <c r="S19" i="3"/>
  <c r="U19" i="3"/>
  <c r="V19" i="3"/>
  <c r="U17" i="3"/>
  <c r="S17" i="3"/>
  <c r="V17" i="3"/>
  <c r="V16" i="3"/>
  <c r="U16" i="3"/>
  <c r="S16" i="3"/>
  <c r="O30" i="5"/>
  <c r="B11" i="8"/>
  <c r="F33" i="9"/>
  <c r="O22" i="3"/>
  <c r="Q22" i="3" s="1"/>
  <c r="O17" i="3"/>
  <c r="Q17" i="3" s="1"/>
  <c r="S23" i="3"/>
  <c r="V23" i="3"/>
  <c r="T23" i="3"/>
  <c r="U23" i="3"/>
  <c r="O24" i="3"/>
  <c r="Q24" i="3" s="1"/>
  <c r="O23" i="3"/>
  <c r="Q23" i="3" s="1"/>
  <c r="S22" i="3"/>
  <c r="T22" i="3"/>
  <c r="V22" i="3"/>
  <c r="U22" i="3"/>
  <c r="O20" i="3"/>
  <c r="Q20" i="3" s="1"/>
  <c r="U24" i="3"/>
  <c r="V24" i="3"/>
  <c r="T24" i="3"/>
  <c r="S24" i="3"/>
  <c r="O18" i="3"/>
  <c r="Q18" i="3" s="1"/>
  <c r="D26" i="3"/>
  <c r="S18" i="5"/>
  <c r="V18" i="5" s="1"/>
  <c r="S21" i="5"/>
  <c r="V21" i="5" s="1"/>
  <c r="V29" i="5" s="1"/>
  <c r="B26" i="8" s="1"/>
  <c r="S19" i="5"/>
  <c r="V19" i="5" s="1"/>
  <c r="Z22" i="5"/>
  <c r="S22" i="5"/>
  <c r="V22" i="5" s="1"/>
  <c r="AA16" i="5"/>
  <c r="S16" i="5"/>
  <c r="V16" i="5" s="1"/>
  <c r="S23" i="5"/>
  <c r="V23" i="5" s="1"/>
  <c r="O25" i="5"/>
  <c r="S15" i="5"/>
  <c r="V15" i="5" s="1"/>
  <c r="S17" i="5"/>
  <c r="V17" i="5" s="1"/>
  <c r="S20" i="5"/>
  <c r="V20" i="5" s="1"/>
  <c r="X23" i="5"/>
  <c r="Z23" i="5"/>
  <c r="AA23" i="5"/>
  <c r="Y23" i="5"/>
  <c r="X16" i="5"/>
  <c r="Z16" i="5"/>
  <c r="Y16" i="5"/>
  <c r="X22" i="5"/>
  <c r="AA22" i="5"/>
  <c r="Y22" i="5"/>
  <c r="Y18" i="5"/>
  <c r="AA18" i="5"/>
  <c r="X18" i="5"/>
  <c r="Z18" i="5"/>
  <c r="Z19" i="5"/>
  <c r="Y19" i="5"/>
  <c r="X19" i="5"/>
  <c r="AA19" i="5"/>
  <c r="Z21" i="5"/>
  <c r="X21" i="5"/>
  <c r="AA21" i="5"/>
  <c r="Y21" i="5"/>
  <c r="AA15" i="5"/>
  <c r="Z15" i="5"/>
  <c r="Y15" i="5"/>
  <c r="X15" i="5"/>
  <c r="Z20" i="5"/>
  <c r="AA20" i="5"/>
  <c r="X20" i="5"/>
  <c r="Y20" i="5"/>
  <c r="AA17" i="5"/>
  <c r="X17" i="5"/>
  <c r="Z17" i="5"/>
  <c r="Y17" i="5"/>
  <c r="K26" i="3"/>
  <c r="W19" i="3" l="1"/>
  <c r="O31" i="5"/>
  <c r="V28" i="5"/>
  <c r="B12" i="8" s="1"/>
  <c r="W21" i="3"/>
  <c r="W17" i="3"/>
  <c r="Y17" i="3" s="1"/>
  <c r="W24" i="3"/>
  <c r="Y24" i="3" s="1"/>
  <c r="W22" i="3"/>
  <c r="Y22" i="3" s="1"/>
  <c r="U26" i="3"/>
  <c r="V26" i="3"/>
  <c r="O21" i="3"/>
  <c r="Q21" i="3" s="1"/>
  <c r="W20" i="3"/>
  <c r="Y20" i="3" s="1"/>
  <c r="W23" i="3"/>
  <c r="Y23" i="3" s="1"/>
  <c r="W16" i="3"/>
  <c r="W18" i="3"/>
  <c r="Y18" i="3" s="1"/>
  <c r="O19" i="3"/>
  <c r="Q19" i="3" s="1"/>
  <c r="AA25" i="5"/>
  <c r="Y25" i="5"/>
  <c r="Z25" i="5"/>
  <c r="V25" i="5"/>
  <c r="S25" i="5"/>
  <c r="X25" i="5"/>
  <c r="AB23" i="5"/>
  <c r="AD23" i="5" s="1"/>
  <c r="AE23" i="5" s="1"/>
  <c r="AB16" i="5"/>
  <c r="AD16" i="5" s="1"/>
  <c r="AE16" i="5" s="1"/>
  <c r="AB22" i="5"/>
  <c r="AD22" i="5" s="1"/>
  <c r="AE22" i="5" s="1"/>
  <c r="AB18" i="5"/>
  <c r="T26" i="3"/>
  <c r="S26" i="3"/>
  <c r="N26" i="3"/>
  <c r="F26" i="3"/>
  <c r="M26" i="3"/>
  <c r="AB17" i="5"/>
  <c r="AD17" i="5" s="1"/>
  <c r="AE17" i="5" s="1"/>
  <c r="AB21" i="5"/>
  <c r="AD21" i="5" s="1"/>
  <c r="AE21" i="5" s="1"/>
  <c r="AB19" i="5"/>
  <c r="AD19" i="5" s="1"/>
  <c r="AE19" i="5" s="1"/>
  <c r="AB15" i="5"/>
  <c r="AB20" i="5"/>
  <c r="AD20" i="5" s="1"/>
  <c r="AE20" i="5" s="1"/>
  <c r="O16" i="3"/>
  <c r="Q16" i="3" s="1"/>
  <c r="AB29" i="5" l="1"/>
  <c r="B27" i="8" s="1"/>
  <c r="Y19" i="3"/>
  <c r="AD18" i="5"/>
  <c r="AE18" i="5" s="1"/>
  <c r="AB28" i="5"/>
  <c r="V30" i="5"/>
  <c r="V31" i="5" s="1"/>
  <c r="AA23" i="3"/>
  <c r="AA22" i="3"/>
  <c r="AA20" i="3"/>
  <c r="AA18" i="3"/>
  <c r="AA24" i="3"/>
  <c r="AA17" i="3"/>
  <c r="W26" i="3"/>
  <c r="Y21" i="3"/>
  <c r="AA21" i="3" s="1"/>
  <c r="AB25" i="5"/>
  <c r="Q26" i="3"/>
  <c r="Y16" i="3"/>
  <c r="AD15" i="5"/>
  <c r="O26" i="3"/>
  <c r="AA19" i="3" l="1"/>
  <c r="AD25" i="5"/>
  <c r="AB30" i="5"/>
  <c r="AB31" i="5" s="1"/>
  <c r="B13" i="8"/>
  <c r="AE15" i="5"/>
  <c r="AA16" i="3" s="1"/>
  <c r="B39" i="8" l="1"/>
  <c r="AA26" i="3"/>
  <c r="Y26" i="3"/>
  <c r="B41" i="8" l="1"/>
  <c r="B46" i="8" s="1"/>
  <c r="B43" i="8" l="1"/>
  <c r="E18" i="9" s="1"/>
  <c r="F18" i="9" s="1"/>
  <c r="E41" i="9"/>
  <c r="F41" i="9" s="1"/>
  <c r="B45" i="8"/>
  <c r="B44" i="8"/>
  <c r="E17" i="9" l="1"/>
  <c r="F17" i="9" s="1"/>
  <c r="E16" i="9"/>
  <c r="F16" i="9" s="1"/>
  <c r="F19" i="9" l="1"/>
  <c r="F47" i="9" l="1"/>
  <c r="H51" i="9" s="1"/>
  <c r="I51" i="9"/>
  <c r="G51" i="9"/>
  <c r="F51" i="9"/>
</calcChain>
</file>

<file path=xl/sharedStrings.xml><?xml version="1.0" encoding="utf-8"?>
<sst xmlns="http://schemas.openxmlformats.org/spreadsheetml/2006/main" count="946" uniqueCount="369">
  <si>
    <t>Shop Supplies</t>
  </si>
  <si>
    <t xml:space="preserve">Trash Removal </t>
  </si>
  <si>
    <t>Rent - Shop</t>
  </si>
  <si>
    <t>General Tooling</t>
  </si>
  <si>
    <t>Wage Limits</t>
  </si>
  <si>
    <t>Overtime Calculations</t>
  </si>
  <si>
    <t>Estimated cost of ER Payroll Taxes</t>
  </si>
  <si>
    <t>Annual</t>
  </si>
  <si>
    <t>Company</t>
  </si>
  <si>
    <t>Max. Hours</t>
  </si>
  <si>
    <t>Employee</t>
  </si>
  <si>
    <t>Base</t>
  </si>
  <si>
    <t xml:space="preserve">Total </t>
  </si>
  <si>
    <t>Co. SSN</t>
  </si>
  <si>
    <t>Co. Med</t>
  </si>
  <si>
    <t>Estimated</t>
  </si>
  <si>
    <t>Gross</t>
  </si>
  <si>
    <t>Employee:</t>
  </si>
  <si>
    <t xml:space="preserve">Available / Yr. </t>
  </si>
  <si>
    <t>Hourly Wage</t>
  </si>
  <si>
    <t>Wages</t>
  </si>
  <si>
    <t>Hours</t>
  </si>
  <si>
    <t>Rate/hour</t>
  </si>
  <si>
    <t>OT Wages</t>
  </si>
  <si>
    <t>ER Portion</t>
  </si>
  <si>
    <t>Match</t>
  </si>
  <si>
    <t>Benefits</t>
  </si>
  <si>
    <t>SUTA</t>
  </si>
  <si>
    <t>FUTA</t>
  </si>
  <si>
    <t>Total</t>
  </si>
  <si>
    <t>Per/Hr.</t>
  </si>
  <si>
    <t>Dept Total</t>
  </si>
  <si>
    <t>Less:  Personal Time off</t>
  </si>
  <si>
    <t>Mandatory Non-Billable</t>
  </si>
  <si>
    <t>Less:  Non-Billable Time</t>
  </si>
  <si>
    <t>Absorbed Labor</t>
  </si>
  <si>
    <t>Paid Time Off</t>
  </si>
  <si>
    <t>Other</t>
  </si>
  <si>
    <t xml:space="preserve">Max Hrs. Avail </t>
  </si>
  <si>
    <t xml:space="preserve">Shop </t>
  </si>
  <si>
    <t xml:space="preserve">Available per/yr. </t>
  </si>
  <si>
    <t>Over time</t>
  </si>
  <si>
    <t>(PTO)</t>
  </si>
  <si>
    <t>Training</t>
  </si>
  <si>
    <t>(Misc.)</t>
  </si>
  <si>
    <t>Subtotal</t>
  </si>
  <si>
    <t>Meeting</t>
  </si>
  <si>
    <t>For Production</t>
  </si>
  <si>
    <t>Maintenance</t>
  </si>
  <si>
    <t>Fully Burdened</t>
  </si>
  <si>
    <t>Weekly Safety</t>
  </si>
  <si>
    <t>Fuel</t>
  </si>
  <si>
    <t xml:space="preserve">Equipment </t>
  </si>
  <si>
    <t>Preparation</t>
  </si>
  <si>
    <t xml:space="preserve">Project </t>
  </si>
  <si>
    <t>Delays</t>
  </si>
  <si>
    <t>Equipment</t>
  </si>
  <si>
    <t>Down</t>
  </si>
  <si>
    <t>Shop Maintenance</t>
  </si>
  <si>
    <t>Direct Labor</t>
  </si>
  <si>
    <t>Cost / Productive Hour</t>
  </si>
  <si>
    <t>Benefits - Direct Labor</t>
  </si>
  <si>
    <t>Payroll Taxes - Direct Labor</t>
  </si>
  <si>
    <t>Total Cost of Drilling Operations</t>
  </si>
  <si>
    <t xml:space="preserve">Reference </t>
  </si>
  <si>
    <t xml:space="preserve">Productive Labor Hours </t>
  </si>
  <si>
    <t>Annual Total</t>
  </si>
  <si>
    <t>Account Description</t>
  </si>
  <si>
    <t>Site Prep</t>
  </si>
  <si>
    <t>Drilling</t>
  </si>
  <si>
    <t>Cleanup</t>
  </si>
  <si>
    <t xml:space="preserve">Direct Labor </t>
  </si>
  <si>
    <t>Qty</t>
  </si>
  <si>
    <t>Equipment Cost</t>
  </si>
  <si>
    <t>Drill Rig Rental</t>
  </si>
  <si>
    <t>Materials</t>
  </si>
  <si>
    <t>Job Specific Tooling</t>
  </si>
  <si>
    <t>Mob/DeMob Cost</t>
  </si>
  <si>
    <t>Rate</t>
  </si>
  <si>
    <t>Material 1</t>
  </si>
  <si>
    <t>Material 2</t>
  </si>
  <si>
    <t>Specialty 1</t>
  </si>
  <si>
    <t>Total Direct Labor</t>
  </si>
  <si>
    <t>Round Trip Drive Time</t>
  </si>
  <si>
    <t>Testing and Lab Costs</t>
  </si>
  <si>
    <t>Permits and Fees</t>
  </si>
  <si>
    <t>Total Estimated Job Cost</t>
  </si>
  <si>
    <t>Total Equipment Cost</t>
  </si>
  <si>
    <t>Total Material Cost</t>
  </si>
  <si>
    <t>Desired Margin On Drilling Projects</t>
  </si>
  <si>
    <t>Quoted Total to Client</t>
  </si>
  <si>
    <t>Overhead / Hour</t>
  </si>
  <si>
    <t>Bulk Consumables</t>
  </si>
  <si>
    <t>Direct Labor + Fuel + Depreciation / Hour</t>
  </si>
  <si>
    <t>Specialty Equipment Rental</t>
  </si>
  <si>
    <t>Specialty 2</t>
  </si>
  <si>
    <t>Total Specialty Cost</t>
  </si>
  <si>
    <t>Travel Accommodations</t>
  </si>
  <si>
    <t>Per Diem Expenses</t>
  </si>
  <si>
    <t>Direct Labor + Benefits / Hour</t>
  </si>
  <si>
    <t>First</t>
  </si>
  <si>
    <t>Last</t>
  </si>
  <si>
    <t>Health Benefits</t>
  </si>
  <si>
    <t xml:space="preserve">401(k) Match </t>
  </si>
  <si>
    <t>HERE</t>
  </si>
  <si>
    <t>ADD BENEFIT</t>
  </si>
  <si>
    <t>MANPOWER BUDGET TEMPLATE</t>
  </si>
  <si>
    <t>BUDGET YEAR</t>
  </si>
  <si>
    <t>DIRECTIONS:</t>
  </si>
  <si>
    <t>1) Populate cells highlighted in grey with company information</t>
  </si>
  <si>
    <t>2) Add cells for employees or benefits as necessary</t>
  </si>
  <si>
    <t>Transfer Amount to</t>
  </si>
  <si>
    <t>Cost Template</t>
  </si>
  <si>
    <t>3) Transfer wages, benefits, and Taxes to Cost Summary Template</t>
  </si>
  <si>
    <t>From Manpower</t>
  </si>
  <si>
    <t>Paid Holiday</t>
  </si>
  <si>
    <t>EFFICIENCY TEMPLATE</t>
  </si>
  <si>
    <t>2) Add cells for non-billable sections as necessary</t>
  </si>
  <si>
    <t>Productive Labor</t>
  </si>
  <si>
    <t>3) Transfer productive labor hours to Cost Summary Template</t>
  </si>
  <si>
    <t>4) Transfer absorbed labor total to Cost Summary Template</t>
  </si>
  <si>
    <t>Enter Budget Estimates</t>
  </si>
  <si>
    <t>COST SUMMARY TEMPLATE</t>
  </si>
  <si>
    <t>STEP 1 - Manpower Budget</t>
  </si>
  <si>
    <t>STEP 3 - Efficiency Budget</t>
  </si>
  <si>
    <t>Mob/DeMob Bill Rate</t>
  </si>
  <si>
    <t>TIER 2 - Overhead Breakeven Rate</t>
  </si>
  <si>
    <t>TIER 3 - Labor Breakeven Rate</t>
  </si>
  <si>
    <t>2) Use appropriate hourly rates for Quotation Template</t>
  </si>
  <si>
    <t>Project Name:</t>
  </si>
  <si>
    <t>TEMPLATE</t>
  </si>
  <si>
    <t>QUOTATION TEMPLATE</t>
  </si>
  <si>
    <t>Directions</t>
  </si>
  <si>
    <t>Directions:</t>
  </si>
  <si>
    <t>2) Add materials, tooling, etc. as necessary</t>
  </si>
  <si>
    <t xml:space="preserve">3) Decide on the project bill rate </t>
  </si>
  <si>
    <t>4) Use an appropriate margin for quoting the client</t>
  </si>
  <si>
    <t>Project Bill</t>
  </si>
  <si>
    <t>Decide which rate is appropriate from Cost Summary Template</t>
  </si>
  <si>
    <t>YOUR COMPANY LOGO</t>
  </si>
  <si>
    <t>Department</t>
  </si>
  <si>
    <t>Driller</t>
  </si>
  <si>
    <t>Technician</t>
  </si>
  <si>
    <t xml:space="preserve">P&amp;L </t>
  </si>
  <si>
    <t>COGS</t>
  </si>
  <si>
    <t xml:space="preserve">Company </t>
  </si>
  <si>
    <t>Insurance - Building, Shop Allocation</t>
  </si>
  <si>
    <t>Insurance - Equipment &amp; Autos, Drilling Operations</t>
  </si>
  <si>
    <t>Insurance - Workers Comp, Drilling Operations</t>
  </si>
  <si>
    <t>Repairs and Maintenance - Rigs and Support Equipment</t>
  </si>
  <si>
    <t>Shipping and Freight</t>
  </si>
  <si>
    <t>Utilities - Drilling Operations</t>
  </si>
  <si>
    <t>Auto Expense - Leases and Repairs, Drilling Operations</t>
  </si>
  <si>
    <t>Permits and Certification Fees</t>
  </si>
  <si>
    <t>Chart of Accounts</t>
  </si>
  <si>
    <t>Account #</t>
  </si>
  <si>
    <t>Type</t>
  </si>
  <si>
    <t>1000</t>
  </si>
  <si>
    <t>Bank Checking</t>
  </si>
  <si>
    <t>Bank</t>
  </si>
  <si>
    <t>Petty Cash</t>
  </si>
  <si>
    <t>Cash</t>
  </si>
  <si>
    <t>Accounts Receivable</t>
  </si>
  <si>
    <t>Accounts receivable (A/R)</t>
  </si>
  <si>
    <t>Allowance for Doubtful Accounts</t>
  </si>
  <si>
    <t>Prepaid Expenses - Insurance</t>
  </si>
  <si>
    <t>Other Current Assets</t>
  </si>
  <si>
    <t>Prepaid Expenses - Other</t>
  </si>
  <si>
    <t xml:space="preserve">Inventory - Parts </t>
  </si>
  <si>
    <t>Current Asset</t>
  </si>
  <si>
    <t>Work in Process</t>
  </si>
  <si>
    <t>Rigs and Civil Equipment</t>
  </si>
  <si>
    <t>Fixed Assets</t>
  </si>
  <si>
    <t>Machinery &amp; Shop Equipment</t>
  </si>
  <si>
    <t>Computers and Electronic Equipment</t>
  </si>
  <si>
    <t>Furniture and Fixtures</t>
  </si>
  <si>
    <t>Vehicles and Trailers</t>
  </si>
  <si>
    <t>Accumulated Depreciation</t>
  </si>
  <si>
    <t>Vendor Deposits</t>
  </si>
  <si>
    <t>Other Assets</t>
  </si>
  <si>
    <t>1700</t>
  </si>
  <si>
    <t>Loan Fees</t>
  </si>
  <si>
    <t>1900</t>
  </si>
  <si>
    <t>Startup &amp; Organizational Costs</t>
  </si>
  <si>
    <t>2000</t>
  </si>
  <si>
    <t>Accounts Payable</t>
  </si>
  <si>
    <t>Accounts payable (A/P)</t>
  </si>
  <si>
    <t>2100</t>
  </si>
  <si>
    <t>Accrued Expenses - General</t>
  </si>
  <si>
    <t>Other Current Liabilities</t>
  </si>
  <si>
    <t>Accrued Expenses - Payroll</t>
  </si>
  <si>
    <t>Accrued Expenses - Property Taxes</t>
  </si>
  <si>
    <t>Accrued Expenses - Taxes</t>
  </si>
  <si>
    <t>Deferred Revenue - Progress Billings</t>
  </si>
  <si>
    <t>Bank Line of Credit</t>
  </si>
  <si>
    <t>Loans Payable, Bank - Current</t>
  </si>
  <si>
    <t>Loans Payable, Financing - Current</t>
  </si>
  <si>
    <t>Due to Member/Shareholder</t>
  </si>
  <si>
    <t>2700</t>
  </si>
  <si>
    <t>Loans Payable, Bank - Long-Term</t>
  </si>
  <si>
    <t>Long Term Liabilities</t>
  </si>
  <si>
    <t>Loans Payable, Financing - Long-Term</t>
  </si>
  <si>
    <t>Member/Shareholder Equity - Opening</t>
  </si>
  <si>
    <t>Equity</t>
  </si>
  <si>
    <t>Member/Shareholder Contributions</t>
  </si>
  <si>
    <t>Member/Shareholder Distributions</t>
  </si>
  <si>
    <t>Retained Earnings</t>
  </si>
  <si>
    <t>4000</t>
  </si>
  <si>
    <t>Revenue - Drilling Operations</t>
  </si>
  <si>
    <t>Income</t>
  </si>
  <si>
    <t>Revenue - Consulting Fees</t>
  </si>
  <si>
    <t>Revenue - Consumables</t>
  </si>
  <si>
    <t>4200</t>
  </si>
  <si>
    <t>Other Income</t>
  </si>
  <si>
    <t>Customer Discounts and Goodwill</t>
  </si>
  <si>
    <t>5000</t>
  </si>
  <si>
    <t>Cost of Goods Sold</t>
  </si>
  <si>
    <t>Accounting &amp; Legal Fees</t>
  </si>
  <si>
    <t>Auto Expense - Leases and Auto Repairs</t>
  </si>
  <si>
    <t>Bad Debt</t>
  </si>
  <si>
    <t>Bank and Credit Card Fees</t>
  </si>
  <si>
    <t>Business Licenses &amp; Permits</t>
  </si>
  <si>
    <t>Charitable Contributions</t>
  </si>
  <si>
    <t>Commissions &amp; Fees</t>
  </si>
  <si>
    <t>Dues and Subscriptions</t>
  </si>
  <si>
    <t>Insurance - Building - Office Allocation</t>
  </si>
  <si>
    <t>Insurance - Admin autos</t>
  </si>
  <si>
    <t>Insurance - Workers Comp - Admin Allocation</t>
  </si>
  <si>
    <t>Insurance - Umbrella - Admin Allocation</t>
  </si>
  <si>
    <t>Meals &amp; Entertainment</t>
  </si>
  <si>
    <t>Office Supplies</t>
  </si>
  <si>
    <t>Penalties &amp; Settlements</t>
  </si>
  <si>
    <t>Rent - Office</t>
  </si>
  <si>
    <t>Salaries &amp; Wages - Officers and Admin</t>
  </si>
  <si>
    <t>Benefits - Officers and Admin</t>
  </si>
  <si>
    <t>Payroll Taxes - Officers and Admin</t>
  </si>
  <si>
    <t>Repairs and Maintenance - Office</t>
  </si>
  <si>
    <t>Shipping &amp; Postage - Office</t>
  </si>
  <si>
    <t>Software &amp; App Subscription Fees</t>
  </si>
  <si>
    <t>Taxes - Property Tax - Office</t>
  </si>
  <si>
    <t>Taxes - Property Tax - Shop</t>
  </si>
  <si>
    <t>Taxes - Sales and Use Tax</t>
  </si>
  <si>
    <t>Telephone and Internet</t>
  </si>
  <si>
    <t>Travel Expenses - Hotel, Rental Cars</t>
  </si>
  <si>
    <t>Uniforms - Office</t>
  </si>
  <si>
    <t>Utilities - Office</t>
  </si>
  <si>
    <t>8000</t>
  </si>
  <si>
    <t>Interest Expense</t>
  </si>
  <si>
    <t>Other Expense</t>
  </si>
  <si>
    <t>Taxes - Federal &amp; State</t>
  </si>
  <si>
    <t>Depreciation - Drill Rigs and Civil Equipment</t>
  </si>
  <si>
    <t>Depreciation - Shop &amp; Support Equipment</t>
  </si>
  <si>
    <t>Depreciation - Vehicles and Trailers</t>
  </si>
  <si>
    <t>Depreciation - F&amp;F, Computers, Leasehold Improvements</t>
  </si>
  <si>
    <t>Amortization Expense</t>
  </si>
  <si>
    <t>Balance Sheet</t>
  </si>
  <si>
    <t>Current Liability</t>
  </si>
  <si>
    <t>Long-Term Liability</t>
  </si>
  <si>
    <t>Financial Reporting</t>
  </si>
  <si>
    <t>Profit and Loss</t>
  </si>
  <si>
    <t>Revenue</t>
  </si>
  <si>
    <t>Direct</t>
  </si>
  <si>
    <t>Direct Drilling Expenses</t>
  </si>
  <si>
    <t>Indirect Drilling Expenses</t>
  </si>
  <si>
    <t>General Business Expense</t>
  </si>
  <si>
    <t>Other Business Expense</t>
  </si>
  <si>
    <t>Operating Expense</t>
  </si>
  <si>
    <t>Leasehold Improvements</t>
  </si>
  <si>
    <t>Accumulated Amortization</t>
  </si>
  <si>
    <t>Insurance - Umbrella, Drilling Operations</t>
  </si>
  <si>
    <t>Salaries - Shop, Mgmt., Admin</t>
  </si>
  <si>
    <t>Benefits - Shop, Mgmt., Admin</t>
  </si>
  <si>
    <t>Payroll Taxes - Shop, Mgmt., Admin</t>
  </si>
  <si>
    <t>Uniforms - Drilling Operations</t>
  </si>
  <si>
    <t>Marketing &amp; Adverting</t>
  </si>
  <si>
    <t>Drilling Admin</t>
  </si>
  <si>
    <t>Driller Assistant</t>
  </si>
  <si>
    <t>Drilling Manager</t>
  </si>
  <si>
    <t xml:space="preserve">Direct / </t>
  </si>
  <si>
    <t>Indirect</t>
  </si>
  <si>
    <t>Manpower Spend Breakdown</t>
  </si>
  <si>
    <t>Grand Total</t>
  </si>
  <si>
    <t>Check Figure (S/B Zero)</t>
  </si>
  <si>
    <t>Transfer to Cost Template</t>
  </si>
  <si>
    <t>2026</t>
  </si>
  <si>
    <t>Cell Phone</t>
  </si>
  <si>
    <t>TIER 1 - Drilling Cost/Hr.</t>
  </si>
  <si>
    <t>Company Name</t>
  </si>
  <si>
    <t>ASSETS</t>
  </si>
  <si>
    <t>CURRENT ASSETS</t>
  </si>
  <si>
    <t>Acct. No.</t>
  </si>
  <si>
    <t>Acct. Description</t>
  </si>
  <si>
    <t>Actual</t>
  </si>
  <si>
    <t xml:space="preserve">YOY </t>
  </si>
  <si>
    <t>Variance</t>
  </si>
  <si>
    <t>Inventory</t>
  </si>
  <si>
    <t>Parts</t>
  </si>
  <si>
    <t>Prepaid Expenses</t>
  </si>
  <si>
    <t>Total Current Assets</t>
  </si>
  <si>
    <t>PROPERTY AND EQUIPMENT</t>
  </si>
  <si>
    <t>Computers &amp; Electronic Equipment</t>
  </si>
  <si>
    <t>Furniture &amp; Fixtures</t>
  </si>
  <si>
    <t>Vehicles &amp; Trailers</t>
  </si>
  <si>
    <t>OTHER ASSETS</t>
  </si>
  <si>
    <t>Equipment Deposits</t>
  </si>
  <si>
    <t>Inventory - Reserve for Obsolescence</t>
  </si>
  <si>
    <t>Total Accounts Receivable</t>
  </si>
  <si>
    <t>Total Inventory</t>
  </si>
  <si>
    <t>Total Property &amp; Equipment</t>
  </si>
  <si>
    <t>Total Other Assets</t>
  </si>
  <si>
    <t>Startup Costs &amp; Loan Fees, Net of Accumulated Amortization</t>
  </si>
  <si>
    <t>Total Assets</t>
  </si>
  <si>
    <t>LIABILITIES AND SHAREHOLDERS' EQUITY</t>
  </si>
  <si>
    <t>CURRENT LIABILITIES</t>
  </si>
  <si>
    <t>Line of Credit</t>
  </si>
  <si>
    <t>Accrued Expenses</t>
  </si>
  <si>
    <t>Total Current Liabilities</t>
  </si>
  <si>
    <t>LONG TERM LIABILITIES</t>
  </si>
  <si>
    <t>Deferred Revenue</t>
  </si>
  <si>
    <t>Retained Earnings, Net of Distributions</t>
  </si>
  <si>
    <t>Member/Shareholder Equity</t>
  </si>
  <si>
    <t>Total Long Term Liabilities</t>
  </si>
  <si>
    <t>Net Income (Loss)</t>
  </si>
  <si>
    <t>Total Shareholders Equity</t>
  </si>
  <si>
    <t>Total Liabilities and Shareholders' Equity</t>
  </si>
  <si>
    <t>Reserve for Obsolescence</t>
  </si>
  <si>
    <t>SHAREHOLDERS' EQUITY</t>
  </si>
  <si>
    <t>Above the Line</t>
  </si>
  <si>
    <t>Below the Line</t>
  </si>
  <si>
    <t>Profit &amp; Loss</t>
  </si>
  <si>
    <t>REVENUE</t>
  </si>
  <si>
    <t>Drilling Revenue</t>
  </si>
  <si>
    <t>Consulting Revenue</t>
  </si>
  <si>
    <t>Discounts and Concessions</t>
  </si>
  <si>
    <t>Total Revenue</t>
  </si>
  <si>
    <t>Budget</t>
  </si>
  <si>
    <t>Benefits - Drilling Operations</t>
  </si>
  <si>
    <t>Payroll Taxes - Drilling Operations</t>
  </si>
  <si>
    <t>Auto Expenses</t>
  </si>
  <si>
    <t>Tooling and Consumables - Drilling Operations</t>
  </si>
  <si>
    <t>Fuel - Drilling Operations</t>
  </si>
  <si>
    <t>Auto Expense - Leases and Repairs</t>
  </si>
  <si>
    <t>Insurance</t>
  </si>
  <si>
    <t>Rent and Shop Repairs &amp; Maintenance</t>
  </si>
  <si>
    <t>Repairs &amp; Maintenance - Rigs and Support Equipment</t>
  </si>
  <si>
    <t>Shipping</t>
  </si>
  <si>
    <t>Drilling Training</t>
  </si>
  <si>
    <t>Uniforms</t>
  </si>
  <si>
    <t>Utilities</t>
  </si>
  <si>
    <t>Total Direct Drilling Cost</t>
  </si>
  <si>
    <t>Total Cost of Drilling</t>
  </si>
  <si>
    <t>Gross Profit</t>
  </si>
  <si>
    <t>COST OF DRILLING OPERATIONS</t>
  </si>
  <si>
    <t>CORPORATE AND OTHER EXPENSES</t>
  </si>
  <si>
    <t>Salaries, Benefits, and Payroll Taxes</t>
  </si>
  <si>
    <t>Taxes</t>
  </si>
  <si>
    <t>Depreciation and Amortization</t>
  </si>
  <si>
    <t>General Admin Expenses</t>
  </si>
  <si>
    <t>Other Income / Expense</t>
  </si>
  <si>
    <t>Total Corporate and Other Expenses</t>
  </si>
  <si>
    <t>Net Income</t>
  </si>
  <si>
    <t>EBITDA</t>
  </si>
  <si>
    <t>Total Indirect Drilling Cost</t>
  </si>
  <si>
    <t>Salaries and Wages - Drilling Operations</t>
  </si>
  <si>
    <t>Salaries and Wages - Mgmt., Admin, Shop</t>
  </si>
  <si>
    <t>Benefits - Mgmt., Admin, Shop</t>
  </si>
  <si>
    <t>Payroll Taxes - Mgmt., Admin, Shop</t>
  </si>
  <si>
    <t>Per Diem</t>
  </si>
  <si>
    <t xml:space="preserve">Personal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</si>
</sst>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00_);_(&quot;$&quot;* \(#,##0.000000\);_(&quot;$&quot;* &quot;-&quot;??_);_(@_)"/>
    <numFmt numFmtId="167" formatCode="[$-409]mmmm\ d\,\ yyyy;@"/>
  </numFmts>
  <fonts count="2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(Body)"/>
    </font>
    <font>
      <sz val="12"/>
      <color theme="1"/>
      <name val="Aptos (Body)"/>
    </font>
    <font>
      <b/>
      <u val="singleAccounting"/>
      <sz val="12"/>
      <color theme="1"/>
      <name val="Aptos (Body)"/>
    </font>
    <font>
      <b/>
      <sz val="12"/>
      <color theme="1"/>
      <name val="Aptos (Body)"/>
    </font>
    <font>
      <b/>
      <sz val="20"/>
      <color theme="1"/>
      <name val="Aptos (Body)"/>
    </font>
    <font>
      <b/>
      <sz val="10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sz val="10"/>
      <color rgb="FFFF0000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b/>
      <u val="singleAccounting"/>
      <sz val="10"/>
      <color theme="1"/>
      <name val="Aptos Display"/>
      <family val="2"/>
      <scheme val="major"/>
    </font>
    <font>
      <sz val="10"/>
      <name val="Aptos Display"/>
      <family val="2"/>
      <scheme val="major"/>
    </font>
    <font>
      <b/>
      <sz val="10"/>
      <name val="Aptos Display"/>
      <family val="2"/>
      <scheme val="major"/>
    </font>
    <font>
      <u val="singleAccounting"/>
      <sz val="10"/>
      <color theme="1"/>
      <name val="Aptos Display"/>
      <family val="2"/>
      <scheme val="major"/>
    </font>
    <font>
      <b/>
      <u/>
      <sz val="10"/>
      <name val="Aptos Display"/>
      <family val="2"/>
      <scheme val="major"/>
    </font>
    <font>
      <b/>
      <u val="singleAccounting"/>
      <sz val="10"/>
      <color rgb="FFFF0000"/>
      <name val="Aptos Display"/>
      <family val="2"/>
      <scheme val="major"/>
    </font>
    <font>
      <b/>
      <sz val="10"/>
      <color rgb="FFC00000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u val="singleAccounting"/>
      <sz val="12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0"/>
      <color theme="1"/>
      <name val="Aptos (Body)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0" fontId="23" fillId="0" borderId="1"/>
  </cellStyleXfs>
  <cellXfs count="247">
    <xf numFmtId="0" fontId="0" fillId="0" borderId="0" xfId="0"/>
    <xf numFmtId="0" fontId="3" fillId="0" borderId="0" xfId="0" applyFont="1"/>
    <xf numFmtId="49" fontId="7" fillId="4" borderId="0" xfId="1" applyNumberFormat="1" applyFont="1" applyFill="1" applyAlignment="1">
      <alignment horizontal="center" vertical="center"/>
    </xf>
    <xf numFmtId="0" fontId="8" fillId="0" borderId="0" xfId="0" applyFont="1"/>
    <xf numFmtId="164" fontId="8" fillId="3" borderId="0" xfId="1" applyNumberFormat="1" applyFont="1" applyFill="1"/>
    <xf numFmtId="44" fontId="8" fillId="3" borderId="0" xfId="2" applyFont="1" applyFill="1"/>
    <xf numFmtId="0" fontId="9" fillId="0" borderId="0" xfId="0" applyFont="1"/>
    <xf numFmtId="43" fontId="8" fillId="0" borderId="0" xfId="1" applyFont="1"/>
    <xf numFmtId="164" fontId="8" fillId="3" borderId="0" xfId="1" applyNumberFormat="1" applyFont="1" applyFill="1" applyAlignment="1">
      <alignment horizontal="left"/>
    </xf>
    <xf numFmtId="164" fontId="8" fillId="6" borderId="0" xfId="1" applyNumberFormat="1" applyFont="1" applyFill="1" applyAlignment="1">
      <alignment horizontal="left"/>
    </xf>
    <xf numFmtId="49" fontId="8" fillId="0" borderId="0" xfId="1" applyNumberFormat="1" applyFont="1" applyAlignment="1">
      <alignment horizontal="center" vertical="top"/>
    </xf>
    <xf numFmtId="164" fontId="8" fillId="0" borderId="0" xfId="1" applyNumberFormat="1" applyFont="1"/>
    <xf numFmtId="44" fontId="8" fillId="0" borderId="0" xfId="2" applyFont="1"/>
    <xf numFmtId="49" fontId="10" fillId="0" borderId="0" xfId="1" applyNumberFormat="1" applyFon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43" fontId="11" fillId="0" borderId="0" xfId="1" applyFont="1" applyFill="1" applyBorder="1" applyAlignment="1"/>
    <xf numFmtId="43" fontId="7" fillId="0" borderId="0" xfId="1" applyFont="1" applyAlignment="1">
      <alignment horizontal="center"/>
    </xf>
    <xf numFmtId="43" fontId="9" fillId="0" borderId="14" xfId="1" applyFont="1" applyBorder="1" applyAlignment="1">
      <alignment horizontal="center"/>
    </xf>
    <xf numFmtId="43" fontId="12" fillId="0" borderId="14" xfId="1" applyFont="1" applyBorder="1" applyAlignment="1">
      <alignment horizontal="center"/>
    </xf>
    <xf numFmtId="43" fontId="7" fillId="7" borderId="0" xfId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43" fontId="8" fillId="0" borderId="0" xfId="1" applyFont="1" applyFill="1" applyAlignment="1">
      <alignment horizontal="center"/>
    </xf>
    <xf numFmtId="43" fontId="13" fillId="0" borderId="15" xfId="1" applyFont="1" applyBorder="1" applyAlignment="1">
      <alignment horizontal="center"/>
    </xf>
    <xf numFmtId="43" fontId="12" fillId="0" borderId="15" xfId="1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14" fillId="0" borderId="0" xfId="1" applyFont="1" applyAlignment="1">
      <alignment horizontal="center"/>
    </xf>
    <xf numFmtId="43" fontId="14" fillId="0" borderId="1" xfId="1" applyFont="1" applyBorder="1" applyAlignment="1">
      <alignment horizontal="center"/>
    </xf>
    <xf numFmtId="43" fontId="14" fillId="0" borderId="0" xfId="1" applyFont="1" applyBorder="1" applyAlignment="1">
      <alignment horizontal="center"/>
    </xf>
    <xf numFmtId="43" fontId="14" fillId="0" borderId="0" xfId="1" applyFont="1" applyFill="1" applyAlignment="1">
      <alignment horizontal="center"/>
    </xf>
    <xf numFmtId="43" fontId="15" fillId="0" borderId="15" xfId="1" applyFont="1" applyBorder="1" applyAlignment="1">
      <alignment horizontal="center"/>
    </xf>
    <xf numFmtId="164" fontId="12" fillId="0" borderId="0" xfId="1" applyNumberFormat="1" applyFont="1" applyFill="1"/>
    <xf numFmtId="164" fontId="12" fillId="0" borderId="0" xfId="1" applyNumberFormat="1" applyFont="1" applyFill="1" applyBorder="1"/>
    <xf numFmtId="164" fontId="12" fillId="3" borderId="0" xfId="1" applyNumberFormat="1" applyFont="1" applyFill="1"/>
    <xf numFmtId="164" fontId="13" fillId="0" borderId="0" xfId="1" applyNumberFormat="1" applyFont="1" applyFill="1"/>
    <xf numFmtId="9" fontId="12" fillId="0" borderId="0" xfId="3" applyFont="1" applyFill="1" applyBorder="1"/>
    <xf numFmtId="43" fontId="12" fillId="3" borderId="0" xfId="1" applyFont="1" applyFill="1"/>
    <xf numFmtId="43" fontId="12" fillId="0" borderId="0" xfId="1" applyFont="1"/>
    <xf numFmtId="43" fontId="12" fillId="0" borderId="0" xfId="1" applyFont="1" applyFill="1"/>
    <xf numFmtId="43" fontId="13" fillId="0" borderId="15" xfId="1" applyFont="1" applyFill="1" applyBorder="1"/>
    <xf numFmtId="164" fontId="12" fillId="0" borderId="0" xfId="1" applyNumberFormat="1" applyFont="1" applyBorder="1"/>
    <xf numFmtId="164" fontId="12" fillId="0" borderId="0" xfId="1" applyNumberFormat="1" applyFont="1"/>
    <xf numFmtId="9" fontId="12" fillId="0" borderId="0" xfId="3" applyFont="1" applyBorder="1"/>
    <xf numFmtId="0" fontId="12" fillId="0" borderId="2" xfId="0" applyFont="1" applyBorder="1"/>
    <xf numFmtId="43" fontId="12" fillId="0" borderId="2" xfId="1" applyFont="1" applyFill="1" applyBorder="1"/>
    <xf numFmtId="0" fontId="12" fillId="0" borderId="0" xfId="0" applyFont="1"/>
    <xf numFmtId="0" fontId="13" fillId="0" borderId="2" xfId="0" applyFont="1" applyBorder="1"/>
    <xf numFmtId="43" fontId="13" fillId="0" borderId="16" xfId="1" applyFont="1" applyBorder="1"/>
    <xf numFmtId="43" fontId="13" fillId="0" borderId="16" xfId="1" applyFont="1" applyFill="1" applyBorder="1"/>
    <xf numFmtId="37" fontId="12" fillId="0" borderId="3" xfId="0" applyNumberFormat="1" applyFont="1" applyBorder="1"/>
    <xf numFmtId="164" fontId="13" fillId="0" borderId="3" xfId="3" applyNumberFormat="1" applyFont="1" applyBorder="1"/>
    <xf numFmtId="43" fontId="13" fillId="6" borderId="17" xfId="1" applyFont="1" applyFill="1" applyBorder="1"/>
    <xf numFmtId="43" fontId="8" fillId="0" borderId="0" xfId="1" applyFont="1" applyFill="1"/>
    <xf numFmtId="43" fontId="8" fillId="0" borderId="18" xfId="1" applyFont="1" applyBorder="1"/>
    <xf numFmtId="44" fontId="8" fillId="0" borderId="0" xfId="2" applyFont="1" applyFill="1"/>
    <xf numFmtId="164" fontId="8" fillId="5" borderId="0" xfId="1" applyNumberFormat="1" applyFont="1" applyFill="1"/>
    <xf numFmtId="44" fontId="8" fillId="5" borderId="0" xfId="2" applyFont="1" applyFill="1"/>
    <xf numFmtId="44" fontId="9" fillId="0" borderId="0" xfId="2" applyFont="1" applyFill="1" applyBorder="1"/>
    <xf numFmtId="44" fontId="9" fillId="3" borderId="0" xfId="2" applyFont="1" applyFill="1"/>
    <xf numFmtId="44" fontId="9" fillId="0" borderId="0" xfId="2" applyFont="1"/>
    <xf numFmtId="164" fontId="8" fillId="0" borderId="0" xfId="1" applyNumberFormat="1" applyFont="1" applyFill="1"/>
    <xf numFmtId="44" fontId="17" fillId="0" borderId="0" xfId="2" applyFont="1" applyAlignment="1">
      <alignment horizontal="center"/>
    </xf>
    <xf numFmtId="44" fontId="8" fillId="2" borderId="5" xfId="2" applyFont="1" applyFill="1" applyBorder="1"/>
    <xf numFmtId="44" fontId="8" fillId="2" borderId="6" xfId="2" applyFont="1" applyFill="1" applyBorder="1"/>
    <xf numFmtId="164" fontId="8" fillId="0" borderId="0" xfId="1" applyNumberFormat="1" applyFont="1" applyFill="1" applyAlignment="1">
      <alignment horizontal="center"/>
    </xf>
    <xf numFmtId="44" fontId="8" fillId="0" borderId="0" xfId="2" applyFont="1" applyFill="1" applyAlignment="1">
      <alignment horizontal="center"/>
    </xf>
    <xf numFmtId="44" fontId="8" fillId="0" borderId="0" xfId="2" applyFont="1" applyFill="1" applyBorder="1" applyAlignment="1">
      <alignment horizontal="center"/>
    </xf>
    <xf numFmtId="9" fontId="8" fillId="0" borderId="0" xfId="2" applyNumberFormat="1" applyFont="1" applyFill="1" applyAlignment="1">
      <alignment horizontal="center"/>
    </xf>
    <xf numFmtId="9" fontId="8" fillId="0" borderId="0" xfId="2" applyNumberFormat="1" applyFont="1" applyAlignment="1">
      <alignment horizontal="center"/>
    </xf>
    <xf numFmtId="44" fontId="8" fillId="0" borderId="0" xfId="2" applyFont="1" applyAlignment="1">
      <alignment horizontal="center"/>
    </xf>
    <xf numFmtId="9" fontId="8" fillId="3" borderId="0" xfId="0" applyNumberFormat="1" applyFont="1" applyFill="1" applyAlignment="1">
      <alignment horizontal="center"/>
    </xf>
    <xf numFmtId="9" fontId="8" fillId="3" borderId="0" xfId="2" applyNumberFormat="1" applyFont="1" applyFill="1" applyAlignment="1">
      <alignment horizontal="center"/>
    </xf>
    <xf numFmtId="44" fontId="8" fillId="0" borderId="0" xfId="2" applyFont="1" applyBorder="1" applyAlignment="1">
      <alignment horizontal="center"/>
    </xf>
    <xf numFmtId="10" fontId="9" fillId="0" borderId="2" xfId="3" applyNumberFormat="1" applyFont="1" applyBorder="1" applyAlignment="1">
      <alignment horizontal="center"/>
    </xf>
    <xf numFmtId="10" fontId="9" fillId="0" borderId="0" xfId="3" applyNumberFormat="1" applyFont="1" applyAlignment="1">
      <alignment horizontal="center"/>
    </xf>
    <xf numFmtId="10" fontId="9" fillId="3" borderId="0" xfId="3" applyNumberFormat="1" applyFont="1" applyFill="1" applyAlignment="1">
      <alignment horizontal="center"/>
    </xf>
    <xf numFmtId="44" fontId="9" fillId="0" borderId="0" xfId="2" applyFont="1" applyAlignment="1">
      <alignment horizontal="center"/>
    </xf>
    <xf numFmtId="44" fontId="8" fillId="2" borderId="7" xfId="2" applyFont="1" applyFill="1" applyBorder="1" applyAlignment="1">
      <alignment horizontal="center"/>
    </xf>
    <xf numFmtId="44" fontId="8" fillId="2" borderId="8" xfId="2" applyFont="1" applyFill="1" applyBorder="1" applyAlignment="1">
      <alignment horizontal="center"/>
    </xf>
    <xf numFmtId="44" fontId="8" fillId="3" borderId="0" xfId="2" applyFont="1" applyFill="1" applyAlignment="1">
      <alignment horizontal="center"/>
    </xf>
    <xf numFmtId="164" fontId="14" fillId="0" borderId="0" xfId="1" applyNumberFormat="1" applyFont="1" applyFill="1" applyAlignment="1">
      <alignment horizontal="center"/>
    </xf>
    <xf numFmtId="44" fontId="14" fillId="0" borderId="0" xfId="2" applyFont="1" applyFill="1" applyAlignment="1">
      <alignment horizontal="center"/>
    </xf>
    <xf numFmtId="44" fontId="14" fillId="0" borderId="0" xfId="2" applyFont="1" applyAlignment="1">
      <alignment horizontal="center"/>
    </xf>
    <xf numFmtId="44" fontId="14" fillId="3" borderId="0" xfId="2" applyFont="1" applyFill="1" applyAlignment="1">
      <alignment horizontal="center"/>
    </xf>
    <xf numFmtId="44" fontId="14" fillId="0" borderId="0" xfId="2" applyFont="1" applyBorder="1" applyAlignment="1">
      <alignment horizontal="center"/>
    </xf>
    <xf numFmtId="44" fontId="14" fillId="2" borderId="7" xfId="2" applyFont="1" applyFill="1" applyBorder="1" applyAlignment="1">
      <alignment horizontal="center"/>
    </xf>
    <xf numFmtId="44" fontId="14" fillId="2" borderId="8" xfId="2" applyFont="1" applyFill="1" applyBorder="1" applyAlignment="1">
      <alignment horizontal="center"/>
    </xf>
    <xf numFmtId="44" fontId="8" fillId="0" borderId="0" xfId="2" applyFont="1" applyBorder="1"/>
    <xf numFmtId="44" fontId="8" fillId="2" borderId="7" xfId="2" applyFont="1" applyFill="1" applyBorder="1"/>
    <xf numFmtId="44" fontId="8" fillId="2" borderId="8" xfId="2" applyFont="1" applyFill="1" applyBorder="1"/>
    <xf numFmtId="0" fontId="8" fillId="3" borderId="0" xfId="0" applyFont="1" applyFill="1"/>
    <xf numFmtId="44" fontId="12" fillId="3" borderId="0" xfId="2" applyFont="1" applyFill="1"/>
    <xf numFmtId="44" fontId="12" fillId="0" borderId="0" xfId="2" applyFont="1" applyFill="1"/>
    <xf numFmtId="165" fontId="12" fillId="0" borderId="0" xfId="0" applyNumberFormat="1" applyFont="1"/>
    <xf numFmtId="165" fontId="12" fillId="0" borderId="0" xfId="2" applyNumberFormat="1" applyFont="1" applyFill="1"/>
    <xf numFmtId="44" fontId="12" fillId="0" borderId="0" xfId="2" applyFont="1"/>
    <xf numFmtId="44" fontId="12" fillId="0" borderId="0" xfId="2" applyFont="1" applyBorder="1"/>
    <xf numFmtId="44" fontId="12" fillId="2" borderId="7" xfId="2" applyFont="1" applyFill="1" applyBorder="1"/>
    <xf numFmtId="44" fontId="12" fillId="2" borderId="8" xfId="2" applyFont="1" applyFill="1" applyBorder="1"/>
    <xf numFmtId="43" fontId="8" fillId="0" borderId="0" xfId="0" applyNumberFormat="1" applyFont="1"/>
    <xf numFmtId="43" fontId="12" fillId="0" borderId="0" xfId="1" applyFont="1" applyBorder="1"/>
    <xf numFmtId="43" fontId="12" fillId="2" borderId="7" xfId="1" applyFont="1" applyFill="1" applyBorder="1"/>
    <xf numFmtId="164" fontId="12" fillId="0" borderId="2" xfId="1" applyNumberFormat="1" applyFont="1" applyFill="1" applyBorder="1"/>
    <xf numFmtId="44" fontId="12" fillId="0" borderId="2" xfId="2" applyFont="1" applyFill="1" applyBorder="1"/>
    <xf numFmtId="44" fontId="12" fillId="0" borderId="2" xfId="2" applyFont="1" applyBorder="1"/>
    <xf numFmtId="44" fontId="12" fillId="2" borderId="9" xfId="2" applyFont="1" applyFill="1" applyBorder="1"/>
    <xf numFmtId="164" fontId="12" fillId="0" borderId="3" xfId="1" applyNumberFormat="1" applyFont="1" applyFill="1" applyBorder="1"/>
    <xf numFmtId="44" fontId="12" fillId="0" borderId="3" xfId="2" applyFont="1" applyFill="1" applyBorder="1"/>
    <xf numFmtId="165" fontId="12" fillId="0" borderId="0" xfId="2" applyNumberFormat="1" applyFont="1" applyFill="1" applyBorder="1"/>
    <xf numFmtId="44" fontId="12" fillId="5" borderId="3" xfId="2" applyFont="1" applyFill="1" applyBorder="1"/>
    <xf numFmtId="44" fontId="12" fillId="0" borderId="0" xfId="2" applyFont="1" applyFill="1" applyBorder="1"/>
    <xf numFmtId="44" fontId="12" fillId="2" borderId="10" xfId="2" applyFont="1" applyFill="1" applyBorder="1"/>
    <xf numFmtId="44" fontId="13" fillId="2" borderId="8" xfId="2" applyFont="1" applyFill="1" applyBorder="1"/>
    <xf numFmtId="44" fontId="13" fillId="0" borderId="0" xfId="2" applyFont="1" applyFill="1" applyAlignment="1">
      <alignment horizontal="center"/>
    </xf>
    <xf numFmtId="44" fontId="12" fillId="2" borderId="11" xfId="2" applyFont="1" applyFill="1" applyBorder="1"/>
    <xf numFmtId="44" fontId="12" fillId="2" borderId="12" xfId="2" applyFont="1" applyFill="1" applyBorder="1"/>
    <xf numFmtId="44" fontId="7" fillId="0" borderId="0" xfId="2" applyFont="1" applyFill="1" applyAlignment="1">
      <alignment horizontal="center"/>
    </xf>
    <xf numFmtId="166" fontId="8" fillId="0" borderId="0" xfId="2" applyNumberFormat="1" applyFont="1" applyFill="1"/>
    <xf numFmtId="44" fontId="9" fillId="0" borderId="0" xfId="2" applyFont="1" applyFill="1"/>
    <xf numFmtId="44" fontId="13" fillId="0" borderId="15" xfId="2" applyFont="1" applyFill="1" applyBorder="1" applyAlignment="1">
      <alignment horizontal="center"/>
    </xf>
    <xf numFmtId="44" fontId="7" fillId="0" borderId="15" xfId="2" applyFont="1" applyFill="1" applyBorder="1" applyAlignment="1">
      <alignment horizontal="center"/>
    </xf>
    <xf numFmtId="0" fontId="18" fillId="0" borderId="0" xfId="0" applyFont="1"/>
    <xf numFmtId="43" fontId="19" fillId="0" borderId="0" xfId="1" applyFont="1" applyFill="1" applyAlignment="1">
      <alignment horizontal="left"/>
    </xf>
    <xf numFmtId="43" fontId="19" fillId="0" borderId="0" xfId="1" applyFont="1" applyFill="1" applyAlignment="1">
      <alignment horizontal="center"/>
    </xf>
    <xf numFmtId="165" fontId="18" fillId="0" borderId="0" xfId="2" applyNumberFormat="1" applyFont="1" applyFill="1"/>
    <xf numFmtId="0" fontId="18" fillId="0" borderId="0" xfId="0" applyFont="1" applyAlignment="1">
      <alignment horizontal="center"/>
    </xf>
    <xf numFmtId="164" fontId="18" fillId="0" borderId="0" xfId="1" applyNumberFormat="1" applyFont="1" applyFill="1"/>
    <xf numFmtId="164" fontId="18" fillId="3" borderId="0" xfId="1" applyNumberFormat="1" applyFont="1" applyFill="1"/>
    <xf numFmtId="164" fontId="18" fillId="0" borderId="2" xfId="1" applyNumberFormat="1" applyFont="1" applyFill="1" applyBorder="1"/>
    <xf numFmtId="165" fontId="18" fillId="0" borderId="1" xfId="2" applyNumberFormat="1" applyFont="1" applyFill="1" applyBorder="1"/>
    <xf numFmtId="0" fontId="20" fillId="0" borderId="0" xfId="0" applyFont="1"/>
    <xf numFmtId="0" fontId="18" fillId="0" borderId="0" xfId="0" applyFont="1" applyAlignment="1">
      <alignment vertical="center"/>
    </xf>
    <xf numFmtId="164" fontId="8" fillId="0" borderId="0" xfId="1" applyNumberFormat="1" applyFont="1" applyFill="1" applyAlignment="1"/>
    <xf numFmtId="164" fontId="8" fillId="3" borderId="0" xfId="1" applyNumberFormat="1" applyFont="1" applyFill="1" applyAlignment="1"/>
    <xf numFmtId="164" fontId="8" fillId="6" borderId="0" xfId="1" applyNumberFormat="1" applyFont="1" applyFill="1" applyAlignment="1"/>
    <xf numFmtId="44" fontId="20" fillId="6" borderId="4" xfId="2" applyFont="1" applyFill="1" applyBorder="1"/>
    <xf numFmtId="0" fontId="3" fillId="3" borderId="0" xfId="0" applyFont="1" applyFill="1"/>
    <xf numFmtId="43" fontId="3" fillId="3" borderId="0" xfId="0" applyNumberFormat="1" applyFont="1" applyFill="1"/>
    <xf numFmtId="43" fontId="3" fillId="3" borderId="0" xfId="1" applyFont="1" applyFill="1"/>
    <xf numFmtId="164" fontId="3" fillId="3" borderId="0" xfId="1" applyNumberFormat="1" applyFont="1" applyFill="1"/>
    <xf numFmtId="0" fontId="6" fillId="0" borderId="0" xfId="0" applyFont="1" applyAlignment="1">
      <alignment horizontal="center" vertical="center"/>
    </xf>
    <xf numFmtId="0" fontId="5" fillId="0" borderId="0" xfId="0" applyFont="1"/>
    <xf numFmtId="0" fontId="3" fillId="0" borderId="5" xfId="0" applyFont="1" applyBorder="1"/>
    <xf numFmtId="0" fontId="3" fillId="0" borderId="11" xfId="0" applyFont="1" applyBorder="1"/>
    <xf numFmtId="43" fontId="4" fillId="0" borderId="0" xfId="1" applyFont="1" applyFill="1" applyAlignment="1">
      <alignment horizontal="center"/>
    </xf>
    <xf numFmtId="43" fontId="3" fillId="0" borderId="0" xfId="1" applyFont="1" applyFill="1"/>
    <xf numFmtId="43" fontId="3" fillId="0" borderId="2" xfId="1" applyFont="1" applyFill="1" applyBorder="1"/>
    <xf numFmtId="164" fontId="3" fillId="0" borderId="0" xfId="1" applyNumberFormat="1" applyFont="1" applyFill="1"/>
    <xf numFmtId="164" fontId="3" fillId="0" borderId="2" xfId="1" applyNumberFormat="1" applyFont="1" applyFill="1" applyBorder="1"/>
    <xf numFmtId="43" fontId="3" fillId="0" borderId="0" xfId="0" applyNumberFormat="1" applyFont="1"/>
    <xf numFmtId="0" fontId="3" fillId="0" borderId="2" xfId="0" applyFont="1" applyBorder="1"/>
    <xf numFmtId="164" fontId="5" fillId="0" borderId="3" xfId="0" applyNumberFormat="1" applyFont="1" applyBorder="1"/>
    <xf numFmtId="9" fontId="3" fillId="0" borderId="0" xfId="0" applyNumberFormat="1" applyFont="1"/>
    <xf numFmtId="0" fontId="3" fillId="0" borderId="20" xfId="0" applyFont="1" applyBorder="1"/>
    <xf numFmtId="0" fontId="3" fillId="0" borderId="6" xfId="0" applyFont="1" applyBorder="1"/>
    <xf numFmtId="0" fontId="3" fillId="0" borderId="19" xfId="0" applyFont="1" applyBorder="1"/>
    <xf numFmtId="0" fontId="3" fillId="0" borderId="12" xfId="0" applyFont="1" applyBorder="1"/>
    <xf numFmtId="0" fontId="21" fillId="3" borderId="0" xfId="0" applyFont="1" applyFill="1"/>
    <xf numFmtId="0" fontId="5" fillId="6" borderId="7" xfId="0" applyFont="1" applyFill="1" applyBorder="1"/>
    <xf numFmtId="0" fontId="3" fillId="6" borderId="0" xfId="0" applyFont="1" applyFill="1"/>
    <xf numFmtId="164" fontId="5" fillId="6" borderId="13" xfId="2" applyNumberFormat="1" applyFont="1" applyFill="1" applyBorder="1"/>
    <xf numFmtId="165" fontId="5" fillId="6" borderId="13" xfId="2" applyNumberFormat="1" applyFont="1" applyFill="1" applyBorder="1"/>
    <xf numFmtId="165" fontId="5" fillId="6" borderId="21" xfId="2" applyNumberFormat="1" applyFont="1" applyFill="1" applyBorder="1"/>
    <xf numFmtId="0" fontId="5" fillId="0" borderId="0" xfId="0" applyFont="1" applyAlignment="1">
      <alignment horizontal="center"/>
    </xf>
    <xf numFmtId="164" fontId="12" fillId="0" borderId="2" xfId="1" applyNumberFormat="1" applyFont="1" applyBorder="1"/>
    <xf numFmtId="164" fontId="12" fillId="0" borderId="3" xfId="1" applyNumberFormat="1" applyFont="1" applyBorder="1"/>
    <xf numFmtId="0" fontId="18" fillId="0" borderId="0" xfId="4" applyFont="1" applyAlignment="1">
      <alignment wrapText="1"/>
    </xf>
    <xf numFmtId="0" fontId="18" fillId="0" borderId="0" xfId="4" applyFont="1"/>
    <xf numFmtId="0" fontId="20" fillId="0" borderId="1" xfId="5" applyFont="1" applyAlignment="1">
      <alignment horizontal="center" wrapText="1"/>
    </xf>
    <xf numFmtId="0" fontId="18" fillId="0" borderId="0" xfId="4" applyFont="1" applyAlignment="1">
      <alignment horizontal="left" wrapText="1"/>
    </xf>
    <xf numFmtId="0" fontId="20" fillId="0" borderId="0" xfId="4" applyFont="1" applyAlignment="1">
      <alignment horizontal="left" wrapText="1"/>
    </xf>
    <xf numFmtId="0" fontId="18" fillId="0" borderId="19" xfId="4" applyFont="1" applyBorder="1" applyAlignment="1">
      <alignment horizontal="left" wrapText="1"/>
    </xf>
    <xf numFmtId="0" fontId="18" fillId="0" borderId="19" xfId="4" applyFont="1" applyBorder="1" applyAlignment="1">
      <alignment wrapText="1"/>
    </xf>
    <xf numFmtId="0" fontId="18" fillId="0" borderId="19" xfId="4" applyFont="1" applyBorder="1"/>
    <xf numFmtId="0" fontId="20" fillId="0" borderId="0" xfId="4" applyFont="1" applyAlignment="1">
      <alignment wrapText="1"/>
    </xf>
    <xf numFmtId="43" fontId="8" fillId="0" borderId="13" xfId="1" applyFont="1" applyBorder="1"/>
    <xf numFmtId="43" fontId="8" fillId="5" borderId="0" xfId="1" applyFont="1" applyFill="1"/>
    <xf numFmtId="44" fontId="8" fillId="0" borderId="0" xfId="2" applyFont="1" applyFill="1" applyAlignment="1">
      <alignment horizontal="right"/>
    </xf>
    <xf numFmtId="164" fontId="8" fillId="0" borderId="0" xfId="1" applyNumberFormat="1" applyFont="1" applyAlignment="1">
      <alignment horizontal="right"/>
    </xf>
    <xf numFmtId="0" fontId="8" fillId="0" borderId="19" xfId="0" applyFont="1" applyBorder="1"/>
    <xf numFmtId="0" fontId="8" fillId="3" borderId="19" xfId="0" applyFont="1" applyFill="1" applyBorder="1"/>
    <xf numFmtId="164" fontId="12" fillId="0" borderId="0" xfId="1" applyNumberFormat="1" applyFont="1" applyFill="1" applyAlignment="1">
      <alignment horizontal="right"/>
    </xf>
    <xf numFmtId="43" fontId="3" fillId="0" borderId="0" xfId="1" applyFont="1"/>
    <xf numFmtId="0" fontId="25" fillId="0" borderId="0" xfId="0" applyFont="1"/>
    <xf numFmtId="0" fontId="26" fillId="0" borderId="0" xfId="0" applyFont="1"/>
    <xf numFmtId="0" fontId="26" fillId="0" borderId="19" xfId="0" applyFont="1" applyBorder="1"/>
    <xf numFmtId="0" fontId="25" fillId="0" borderId="0" xfId="0" applyFont="1" applyAlignment="1">
      <alignment horizontal="center"/>
    </xf>
    <xf numFmtId="44" fontId="26" fillId="0" borderId="0" xfId="2" applyFont="1"/>
    <xf numFmtId="164" fontId="26" fillId="0" borderId="0" xfId="1" applyNumberFormat="1" applyFont="1"/>
    <xf numFmtId="164" fontId="26" fillId="0" borderId="2" xfId="0" applyNumberFormat="1" applyFont="1" applyBorder="1"/>
    <xf numFmtId="164" fontId="26" fillId="0" borderId="2" xfId="1" applyNumberFormat="1" applyFont="1" applyBorder="1"/>
    <xf numFmtId="164" fontId="26" fillId="0" borderId="25" xfId="0" applyNumberFormat="1" applyFont="1" applyBorder="1"/>
    <xf numFmtId="0" fontId="26" fillId="0" borderId="2" xfId="0" applyFont="1" applyBorder="1"/>
    <xf numFmtId="44" fontId="26" fillId="0" borderId="3" xfId="2" applyFont="1" applyBorder="1"/>
    <xf numFmtId="0" fontId="27" fillId="0" borderId="0" xfId="0" applyFont="1"/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164" fontId="26" fillId="0" borderId="0" xfId="0" applyNumberFormat="1" applyFont="1"/>
    <xf numFmtId="164" fontId="26" fillId="0" borderId="0" xfId="1" applyNumberFormat="1" applyFont="1" applyBorder="1"/>
    <xf numFmtId="164" fontId="26" fillId="0" borderId="25" xfId="1" applyNumberFormat="1" applyFont="1" applyBorder="1"/>
    <xf numFmtId="0" fontId="26" fillId="0" borderId="0" xfId="4" applyFont="1" applyAlignment="1">
      <alignment wrapText="1"/>
    </xf>
    <xf numFmtId="165" fontId="26" fillId="0" borderId="0" xfId="2" applyNumberFormat="1" applyFont="1"/>
    <xf numFmtId="164" fontId="25" fillId="0" borderId="2" xfId="1" applyNumberFormat="1" applyFont="1" applyBorder="1"/>
    <xf numFmtId="164" fontId="25" fillId="0" borderId="2" xfId="0" applyNumberFormat="1" applyFont="1" applyBorder="1"/>
    <xf numFmtId="164" fontId="25" fillId="0" borderId="0" xfId="1" applyNumberFormat="1" applyFont="1"/>
    <xf numFmtId="164" fontId="25" fillId="0" borderId="1" xfId="1" applyNumberFormat="1" applyFont="1" applyBorder="1"/>
    <xf numFmtId="165" fontId="25" fillId="0" borderId="3" xfId="2" applyNumberFormat="1" applyFont="1" applyBorder="1"/>
    <xf numFmtId="9" fontId="8" fillId="0" borderId="0" xfId="3" applyFont="1"/>
    <xf numFmtId="43" fontId="18" fillId="0" borderId="0" xfId="1" applyFont="1"/>
    <xf numFmtId="0" fontId="20" fillId="0" borderId="1" xfId="4" applyFont="1" applyBorder="1" applyAlignment="1">
      <alignment horizontal="center" wrapText="1"/>
    </xf>
    <xf numFmtId="0" fontId="24" fillId="0" borderId="22" xfId="4" applyFont="1" applyBorder="1" applyAlignment="1">
      <alignment horizontal="center" wrapText="1"/>
    </xf>
    <xf numFmtId="0" fontId="24" fillId="0" borderId="23" xfId="4" applyFont="1" applyBorder="1" applyAlignment="1">
      <alignment horizontal="center" wrapText="1"/>
    </xf>
    <xf numFmtId="0" fontId="24" fillId="0" borderId="24" xfId="4" applyFont="1" applyBorder="1" applyAlignment="1">
      <alignment horizontal="center" wrapText="1"/>
    </xf>
    <xf numFmtId="167" fontId="25" fillId="0" borderId="19" xfId="0" applyNumberFormat="1" applyFont="1" applyBorder="1" applyAlignment="1">
      <alignment horizontal="left"/>
    </xf>
    <xf numFmtId="0" fontId="2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44" fontId="11" fillId="2" borderId="7" xfId="2" applyFont="1" applyFill="1" applyBorder="1" applyAlignment="1">
      <alignment horizontal="center"/>
    </xf>
    <xf numFmtId="44" fontId="11" fillId="2" borderId="8" xfId="2" applyFont="1" applyFill="1" applyBorder="1" applyAlignment="1">
      <alignment horizontal="center"/>
    </xf>
    <xf numFmtId="44" fontId="7" fillId="0" borderId="1" xfId="2" applyFont="1" applyBorder="1" applyAlignment="1">
      <alignment horizontal="center"/>
    </xf>
    <xf numFmtId="43" fontId="14" fillId="0" borderId="0" xfId="1" applyFont="1" applyFill="1" applyAlignment="1">
      <alignment horizontal="center"/>
    </xf>
    <xf numFmtId="49" fontId="7" fillId="4" borderId="0" xfId="1" applyNumberFormat="1" applyFont="1" applyFill="1" applyAlignment="1">
      <alignment horizontal="center" vertical="center"/>
    </xf>
    <xf numFmtId="49" fontId="10" fillId="0" borderId="0" xfId="1" applyNumberFormat="1" applyFon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49" fontId="10" fillId="0" borderId="14" xfId="2" applyNumberFormat="1" applyFont="1" applyBorder="1" applyAlignment="1">
      <alignment horizontal="center" vertical="center"/>
    </xf>
    <xf numFmtId="49" fontId="10" fillId="0" borderId="18" xfId="2" applyNumberFormat="1" applyFont="1" applyBorder="1" applyAlignment="1">
      <alignment horizontal="center" vertical="center"/>
    </xf>
    <xf numFmtId="43" fontId="16" fillId="0" borderId="0" xfId="1" applyFont="1" applyAlignment="1">
      <alignment horizontal="center"/>
    </xf>
    <xf numFmtId="164" fontId="8" fillId="3" borderId="0" xfId="1" applyNumberFormat="1" applyFont="1" applyFill="1" applyAlignment="1">
      <alignment horizontal="left"/>
    </xf>
    <xf numFmtId="164" fontId="8" fillId="6" borderId="0" xfId="1" applyNumberFormat="1" applyFont="1" applyFill="1" applyAlignment="1">
      <alignment horizontal="left"/>
    </xf>
    <xf numFmtId="43" fontId="7" fillId="7" borderId="0" xfId="1" applyFont="1" applyFill="1" applyAlignment="1">
      <alignment horizontal="center"/>
    </xf>
    <xf numFmtId="43" fontId="11" fillId="0" borderId="0" xfId="1" applyFont="1" applyAlignment="1">
      <alignment horizontal="center"/>
    </xf>
    <xf numFmtId="43" fontId="11" fillId="0" borderId="0" xfId="1" applyFont="1" applyFill="1" applyBorder="1" applyAlignment="1">
      <alignment horizontal="center"/>
    </xf>
    <xf numFmtId="43" fontId="11" fillId="0" borderId="0" xfId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4" fillId="0" borderId="0" xfId="1" applyFont="1" applyFill="1" applyAlignment="1">
      <alignment horizontal="center" vertical="top"/>
    </xf>
  </cellXfs>
  <cellStyles count="6">
    <cellStyle name="Comma" xfId="1" builtinId="3"/>
    <cellStyle name="Currency" xfId="2" builtinId="4"/>
    <cellStyle name="HeaderCellStyle" xfId="5" xr:uid="{76241D01-3047-4650-898D-7CEBBD3886BB}"/>
    <cellStyle name="Normal" xfId="0" builtinId="0"/>
    <cellStyle name="Normal 2" xfId="4" xr:uid="{BDDE8F07-38E9-46A5-8A67-770BA1CFCAD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40</xdr:row>
      <xdr:rowOff>47625</xdr:rowOff>
    </xdr:from>
    <xdr:to>
      <xdr:col>5</xdr:col>
      <xdr:colOff>514350</xdr:colOff>
      <xdr:row>67</xdr:row>
      <xdr:rowOff>209550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482AAD7-0344-CFB0-5A4F-2AD9CB576957}"/>
            </a:ext>
          </a:extLst>
        </xdr:cNvPr>
        <xdr:cNvCxnSpPr/>
      </xdr:nvCxnSpPr>
      <xdr:spPr>
        <a:xfrm>
          <a:off x="10067925" y="8201025"/>
          <a:ext cx="38100" cy="62007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69</xdr:row>
      <xdr:rowOff>28575</xdr:rowOff>
    </xdr:from>
    <xdr:to>
      <xdr:col>5</xdr:col>
      <xdr:colOff>514350</xdr:colOff>
      <xdr:row>106</xdr:row>
      <xdr:rowOff>200025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0F3546C-426F-46B4-AB30-BAEB36C55B1E}"/>
            </a:ext>
          </a:extLst>
        </xdr:cNvPr>
        <xdr:cNvCxnSpPr/>
      </xdr:nvCxnSpPr>
      <xdr:spPr>
        <a:xfrm>
          <a:off x="10106025" y="14658975"/>
          <a:ext cx="0" cy="82772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onth-End%20Close\2017\01%20-%20January\Terramac\Terramac%20-%20Reconciliations%20-%20January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ance"/>
      <sheetName val="Bank Reconciliation"/>
      <sheetName val="Accounts Receivable"/>
      <sheetName val="AFDA Analysis"/>
      <sheetName val="Accounts Receivable Aging"/>
      <sheetName val="Due From TCCC"/>
      <sheetName val="Due From RSI"/>
      <sheetName val="Inventory Detail"/>
      <sheetName val="Freight To Capitalize"/>
      <sheetName val="Prepaid Expenses"/>
      <sheetName val="Prepaid (Financed) Insurance"/>
      <sheetName val="Fixed Asset Detail"/>
      <sheetName val="Investment in TCCC"/>
      <sheetName val="Vendor Deposits"/>
      <sheetName val="RT9 Inventory"/>
      <sheetName val="Dump Beds"/>
      <sheetName val="Rock Beds"/>
      <sheetName val="PP Mkt"/>
      <sheetName val="Accounts Payable"/>
      <sheetName val="Accounts Payable Aging"/>
      <sheetName val="Due To TCCC"/>
      <sheetName val="Due To RSI"/>
      <sheetName val="Accrued Payroll"/>
      <sheetName val="Accrued Vacation"/>
      <sheetName val="Accrued Expenses"/>
      <sheetName val="Terramac Credit Card"/>
      <sheetName val="Accrued Real Estate Taxes"/>
      <sheetName val="Warranty Reserve"/>
      <sheetName val="RT9 Warranty History"/>
      <sheetName val="RT14 Warranty History"/>
      <sheetName val="RT14 Warranty"/>
      <sheetName val="20170-Accrued Employee Benefits"/>
      <sheetName val="20190-Accrued Employee Benefits"/>
      <sheetName val="Use Tax - Equipment"/>
      <sheetName val="Use Tax - Parts"/>
      <sheetName val="Dealer Floor Financing"/>
      <sheetName val="PNC - ELOC"/>
      <sheetName val="Members Equity 1"/>
      <sheetName val="Members Equity 2"/>
      <sheetName val="Retained Earnings"/>
      <sheetName val="Allow for Gains"/>
    </sheetNames>
    <sheetDataSet>
      <sheetData sheetId="0">
        <row r="1">
          <cell r="K1">
            <v>42766</v>
          </cell>
        </row>
        <row r="5">
          <cell r="A5">
            <v>10100</v>
          </cell>
          <cell r="B5" t="str">
            <v xml:space="preserve"> PNC Bank Checking</v>
          </cell>
          <cell r="S5">
            <v>10100</v>
          </cell>
          <cell r="T5" t="str">
            <v xml:space="preserve"> PNC Bank Checking</v>
          </cell>
          <cell r="U5">
            <v>1169457.24</v>
          </cell>
        </row>
        <row r="6">
          <cell r="A6">
            <v>10900</v>
          </cell>
          <cell r="B6" t="str">
            <v xml:space="preserve"> Undeposited Funds</v>
          </cell>
          <cell r="S6">
            <v>12000</v>
          </cell>
          <cell r="T6" t="str">
            <v xml:space="preserve"> Accounts Receivable</v>
          </cell>
          <cell r="U6">
            <v>553818.87</v>
          </cell>
        </row>
        <row r="7">
          <cell r="A7">
            <v>12000</v>
          </cell>
          <cell r="B7" t="str">
            <v xml:space="preserve"> Accounts Receivable</v>
          </cell>
          <cell r="S7" t="str">
            <v>Inventory Asset</v>
          </cell>
          <cell r="T7">
            <v>0</v>
          </cell>
          <cell r="U7">
            <v>791.27</v>
          </cell>
        </row>
        <row r="8">
          <cell r="A8">
            <v>12005</v>
          </cell>
          <cell r="B8" t="str">
            <v xml:space="preserve"> Allowance for Doubtful Accounts</v>
          </cell>
          <cell r="S8">
            <v>10900</v>
          </cell>
          <cell r="T8" t="str">
            <v xml:space="preserve"> Undeposited Funds</v>
          </cell>
          <cell r="U8">
            <v>0</v>
          </cell>
        </row>
        <row r="9">
          <cell r="A9">
            <v>12010</v>
          </cell>
          <cell r="B9" t="str">
            <v xml:space="preserve"> Due From TCCCC</v>
          </cell>
          <cell r="S9">
            <v>12005</v>
          </cell>
          <cell r="T9" t="str">
            <v xml:space="preserve"> Allowance for Doubtful Accounts</v>
          </cell>
          <cell r="U9">
            <v>-12000</v>
          </cell>
        </row>
        <row r="10">
          <cell r="A10">
            <v>12015</v>
          </cell>
          <cell r="B10" t="str">
            <v xml:space="preserve"> DT/DF TCCC -  Unrealized FX G/L</v>
          </cell>
          <cell r="S10">
            <v>12100</v>
          </cell>
          <cell r="T10" t="str">
            <v xml:space="preserve"> Warranty Reimb. Receivable</v>
          </cell>
          <cell r="U10">
            <v>0</v>
          </cell>
        </row>
        <row r="11">
          <cell r="A11">
            <v>12050</v>
          </cell>
          <cell r="B11" t="str">
            <v xml:space="preserve"> Due fr. Rig Source, Inc.</v>
          </cell>
          <cell r="S11">
            <v>12700</v>
          </cell>
          <cell r="T11" t="str">
            <v xml:space="preserve"> Prepaid Expense</v>
          </cell>
          <cell r="U11">
            <v>14263.73</v>
          </cell>
        </row>
        <row r="12">
          <cell r="A12">
            <v>12100</v>
          </cell>
          <cell r="B12" t="str">
            <v xml:space="preserve"> Warranty Reimb. Receivable</v>
          </cell>
          <cell r="S12">
            <v>12720</v>
          </cell>
          <cell r="T12" t="str">
            <v xml:space="preserve"> Prepaid Insurance</v>
          </cell>
          <cell r="U12">
            <v>86925.5</v>
          </cell>
        </row>
        <row r="13">
          <cell r="A13">
            <v>12700</v>
          </cell>
          <cell r="B13" t="str">
            <v xml:space="preserve"> Prepaid Expense</v>
          </cell>
          <cell r="S13">
            <v>13000</v>
          </cell>
          <cell r="T13" t="str">
            <v xml:space="preserve"> Inventory</v>
          </cell>
          <cell r="U13">
            <v>-9.94</v>
          </cell>
        </row>
        <row r="14">
          <cell r="A14">
            <v>12720</v>
          </cell>
          <cell r="B14" t="str">
            <v xml:space="preserve"> Prepaid Insurance</v>
          </cell>
          <cell r="S14">
            <v>13010</v>
          </cell>
          <cell r="T14" t="str">
            <v xml:space="preserve"> Inventory - RT9</v>
          </cell>
          <cell r="U14">
            <v>3563459.1</v>
          </cell>
        </row>
        <row r="15">
          <cell r="A15">
            <v>13000</v>
          </cell>
          <cell r="B15" t="str">
            <v xml:space="preserve"> Inventory</v>
          </cell>
          <cell r="S15">
            <v>13020</v>
          </cell>
          <cell r="T15" t="str">
            <v xml:space="preserve"> Inventory - RT14</v>
          </cell>
          <cell r="U15">
            <v>1898878.45</v>
          </cell>
        </row>
        <row r="16">
          <cell r="A16">
            <v>13010</v>
          </cell>
          <cell r="B16" t="str">
            <v xml:space="preserve"> Inventory - RT9</v>
          </cell>
          <cell r="S16">
            <v>13025</v>
          </cell>
          <cell r="T16" t="str">
            <v xml:space="preserve"> Inventory  - RT14R</v>
          </cell>
          <cell r="U16">
            <v>184393.38</v>
          </cell>
        </row>
        <row r="17">
          <cell r="A17">
            <v>13020</v>
          </cell>
          <cell r="B17" t="str">
            <v xml:space="preserve"> Inventory - RT14</v>
          </cell>
          <cell r="S17">
            <v>13100</v>
          </cell>
          <cell r="T17" t="str">
            <v xml:space="preserve"> Inventory - Parts</v>
          </cell>
          <cell r="U17">
            <v>2810373.36</v>
          </cell>
        </row>
        <row r="18">
          <cell r="A18">
            <v>13025</v>
          </cell>
          <cell r="B18" t="str">
            <v xml:space="preserve"> Inventory  - RT14R</v>
          </cell>
          <cell r="S18">
            <v>13105</v>
          </cell>
          <cell r="T18" t="str">
            <v xml:space="preserve"> Inventory - Dump Box</v>
          </cell>
          <cell r="U18">
            <v>26247.53</v>
          </cell>
        </row>
        <row r="19">
          <cell r="A19">
            <v>13100</v>
          </cell>
          <cell r="B19" t="str">
            <v xml:space="preserve"> Inventory - Parts</v>
          </cell>
          <cell r="S19">
            <v>13110</v>
          </cell>
          <cell r="T19" t="str">
            <v xml:space="preserve"> Inventory - Rock Bed</v>
          </cell>
          <cell r="U19">
            <v>17838.98</v>
          </cell>
        </row>
        <row r="20">
          <cell r="A20">
            <v>13105</v>
          </cell>
          <cell r="B20" t="str">
            <v xml:space="preserve"> Inventory - Dump Box</v>
          </cell>
          <cell r="S20">
            <v>13115</v>
          </cell>
          <cell r="T20" t="str">
            <v xml:space="preserve"> Inventory - Dump Beds</v>
          </cell>
          <cell r="U20">
            <v>0</v>
          </cell>
        </row>
        <row r="21">
          <cell r="A21">
            <v>13110</v>
          </cell>
          <cell r="B21" t="str">
            <v xml:space="preserve"> Inventory - Rock Bed</v>
          </cell>
          <cell r="S21">
            <v>13150</v>
          </cell>
          <cell r="T21" t="str">
            <v xml:space="preserve"> Inventory Reserve</v>
          </cell>
          <cell r="U21">
            <v>-7600</v>
          </cell>
        </row>
        <row r="22">
          <cell r="A22">
            <v>13115</v>
          </cell>
          <cell r="B22" t="str">
            <v xml:space="preserve"> Inventory - Dump Beds</v>
          </cell>
          <cell r="S22">
            <v>13200</v>
          </cell>
          <cell r="T22" t="str">
            <v xml:space="preserve"> Inbound Freight</v>
          </cell>
          <cell r="U22">
            <v>158497.35</v>
          </cell>
        </row>
        <row r="23">
          <cell r="A23" t="str">
            <v>Inventory Asset</v>
          </cell>
          <cell r="B23" t="str">
            <v>Inventory Asset</v>
          </cell>
          <cell r="S23">
            <v>13300</v>
          </cell>
          <cell r="T23" t="str">
            <v xml:space="preserve"> Work in Progress</v>
          </cell>
          <cell r="U23">
            <v>0</v>
          </cell>
        </row>
        <row r="24">
          <cell r="A24">
            <v>13150</v>
          </cell>
          <cell r="B24" t="str">
            <v xml:space="preserve"> Inventory Reserve</v>
          </cell>
          <cell r="S24">
            <v>17200</v>
          </cell>
          <cell r="T24" t="str">
            <v xml:space="preserve"> Vendor Deposits</v>
          </cell>
          <cell r="U24">
            <v>0</v>
          </cell>
        </row>
        <row r="25">
          <cell r="A25">
            <v>13200</v>
          </cell>
          <cell r="B25" t="str">
            <v xml:space="preserve"> Inbound Freight</v>
          </cell>
          <cell r="S25">
            <v>14100</v>
          </cell>
          <cell r="T25" t="str">
            <v xml:space="preserve"> Machinery and Equipment</v>
          </cell>
          <cell r="U25">
            <v>2117392.56</v>
          </cell>
        </row>
        <row r="26">
          <cell r="A26">
            <v>13300</v>
          </cell>
          <cell r="B26" t="str">
            <v xml:space="preserve"> Work in Progress</v>
          </cell>
          <cell r="S26">
            <v>14300</v>
          </cell>
          <cell r="T26" t="str">
            <v xml:space="preserve"> Furniture and Fixtures</v>
          </cell>
          <cell r="U26">
            <v>75853.440000000002</v>
          </cell>
        </row>
        <row r="27">
          <cell r="A27">
            <v>14100</v>
          </cell>
          <cell r="B27" t="str">
            <v xml:space="preserve"> Machinery and Equipment</v>
          </cell>
          <cell r="S27">
            <v>14400</v>
          </cell>
          <cell r="T27" t="str">
            <v xml:space="preserve"> Vehicles</v>
          </cell>
          <cell r="U27">
            <v>0</v>
          </cell>
        </row>
        <row r="28">
          <cell r="A28">
            <v>14300</v>
          </cell>
          <cell r="B28" t="str">
            <v xml:space="preserve"> Furniture and Fixtures</v>
          </cell>
          <cell r="S28">
            <v>14900</v>
          </cell>
          <cell r="T28" t="str">
            <v xml:space="preserve"> Accumulated Depreciation</v>
          </cell>
          <cell r="U28">
            <v>-325036.33</v>
          </cell>
        </row>
        <row r="29">
          <cell r="A29">
            <v>14400</v>
          </cell>
          <cell r="B29" t="str">
            <v xml:space="preserve"> Vehicles</v>
          </cell>
          <cell r="S29" t="str">
            <v>Start-up Costs</v>
          </cell>
          <cell r="T29">
            <v>0</v>
          </cell>
          <cell r="U29">
            <v>0</v>
          </cell>
        </row>
        <row r="30">
          <cell r="A30">
            <v>14900</v>
          </cell>
          <cell r="B30" t="str">
            <v xml:space="preserve"> Accumulated Depreciation</v>
          </cell>
          <cell r="S30" t="str">
            <v>Acc. Amortization - Start-up</v>
          </cell>
          <cell r="T30">
            <v>0</v>
          </cell>
          <cell r="U30">
            <v>0</v>
          </cell>
        </row>
        <row r="31">
          <cell r="A31">
            <v>17050</v>
          </cell>
          <cell r="B31" t="str">
            <v xml:space="preserve"> Investment In TCCCC</v>
          </cell>
          <cell r="S31">
            <v>12010</v>
          </cell>
          <cell r="T31" t="str">
            <v xml:space="preserve"> Due From TCCCC</v>
          </cell>
          <cell r="U31">
            <v>379188.25</v>
          </cell>
        </row>
        <row r="32">
          <cell r="A32">
            <v>17200</v>
          </cell>
          <cell r="B32" t="str">
            <v xml:space="preserve"> Vendor Deposits</v>
          </cell>
          <cell r="S32">
            <v>12015</v>
          </cell>
          <cell r="T32" t="str">
            <v xml:space="preserve"> DT/DF TCCC -  Unrealized FX G/L</v>
          </cell>
          <cell r="U32">
            <v>-1210.1099999999999</v>
          </cell>
        </row>
        <row r="33">
          <cell r="A33">
            <v>0</v>
          </cell>
          <cell r="B33" t="str">
            <v>Current Portion of Long Term Debt</v>
          </cell>
          <cell r="S33">
            <v>12050</v>
          </cell>
          <cell r="T33" t="str">
            <v xml:space="preserve"> Due fr. Rig Source, Inc.</v>
          </cell>
          <cell r="U33">
            <v>12000</v>
          </cell>
        </row>
        <row r="34">
          <cell r="A34">
            <v>20000</v>
          </cell>
          <cell r="B34" t="str">
            <v xml:space="preserve"> Accounts Payable</v>
          </cell>
          <cell r="S34">
            <v>17050</v>
          </cell>
          <cell r="T34" t="str">
            <v xml:space="preserve"> Investment In TCCCC</v>
          </cell>
          <cell r="U34">
            <v>100</v>
          </cell>
        </row>
        <row r="35">
          <cell r="A35">
            <v>20010</v>
          </cell>
          <cell r="B35" t="str">
            <v xml:space="preserve"> Due to Terra Custom Crawler</v>
          </cell>
          <cell r="S35">
            <v>20000</v>
          </cell>
          <cell r="T35" t="str">
            <v xml:space="preserve"> Accounts Payable</v>
          </cell>
          <cell r="U35">
            <v>-2692231.84</v>
          </cell>
        </row>
        <row r="36">
          <cell r="A36">
            <v>20040</v>
          </cell>
          <cell r="B36" t="str">
            <v xml:space="preserve"> Due To Rig Source, Inc.</v>
          </cell>
          <cell r="S36" t="str">
            <v>PNC Bank 8069</v>
          </cell>
          <cell r="T36">
            <v>0</v>
          </cell>
          <cell r="U36">
            <v>0</v>
          </cell>
        </row>
        <row r="37">
          <cell r="A37">
            <v>20060</v>
          </cell>
          <cell r="B37" t="str">
            <v xml:space="preserve"> Charitable Contrib. Payable</v>
          </cell>
          <cell r="S37">
            <v>20010</v>
          </cell>
          <cell r="T37" t="str">
            <v xml:space="preserve"> Due to Terra Custom Crawler</v>
          </cell>
          <cell r="U37">
            <v>-7756.07</v>
          </cell>
        </row>
        <row r="38">
          <cell r="A38">
            <v>20112</v>
          </cell>
          <cell r="B38" t="str">
            <v xml:space="preserve"> Payroll Taxes Payable</v>
          </cell>
          <cell r="S38">
            <v>20040</v>
          </cell>
          <cell r="T38" t="str">
            <v xml:space="preserve"> Due To Rig Source, Inc.</v>
          </cell>
          <cell r="U38">
            <v>-3913471.47</v>
          </cell>
        </row>
        <row r="39">
          <cell r="A39">
            <v>20115</v>
          </cell>
          <cell r="B39" t="str">
            <v xml:space="preserve"> Accrued Payroll</v>
          </cell>
          <cell r="S39">
            <v>20060</v>
          </cell>
          <cell r="T39" t="str">
            <v xml:space="preserve"> Charitable Contrib. Payable</v>
          </cell>
          <cell r="U39">
            <v>0</v>
          </cell>
        </row>
        <row r="40">
          <cell r="A40">
            <v>20120</v>
          </cell>
          <cell r="B40" t="str">
            <v xml:space="preserve"> Accrued Vacation</v>
          </cell>
          <cell r="S40">
            <v>20112</v>
          </cell>
          <cell r="T40" t="str">
            <v xml:space="preserve"> Payroll Taxes Payable</v>
          </cell>
          <cell r="U40">
            <v>-6522.08</v>
          </cell>
        </row>
        <row r="41">
          <cell r="A41">
            <v>20130</v>
          </cell>
          <cell r="B41" t="str">
            <v xml:space="preserve"> Accrued Expenses</v>
          </cell>
          <cell r="S41">
            <v>20115</v>
          </cell>
          <cell r="T41" t="str">
            <v xml:space="preserve"> Accrued Payroll</v>
          </cell>
          <cell r="U41">
            <v>-50277.55</v>
          </cell>
        </row>
        <row r="42">
          <cell r="A42">
            <v>20170</v>
          </cell>
          <cell r="B42" t="str">
            <v xml:space="preserve"> Accrued Employee Benefits</v>
          </cell>
          <cell r="S42">
            <v>20120</v>
          </cell>
          <cell r="T42" t="str">
            <v xml:space="preserve"> Accrued Vacation</v>
          </cell>
          <cell r="U42">
            <v>-23312.15</v>
          </cell>
        </row>
        <row r="43">
          <cell r="A43">
            <v>20180</v>
          </cell>
          <cell r="B43" t="str">
            <v xml:space="preserve"> Accrued Warranty Liability</v>
          </cell>
          <cell r="S43">
            <v>20130</v>
          </cell>
          <cell r="T43" t="str">
            <v xml:space="preserve"> Accrued Expenses</v>
          </cell>
          <cell r="U43">
            <v>-98089.33</v>
          </cell>
        </row>
        <row r="44">
          <cell r="A44">
            <v>20185</v>
          </cell>
          <cell r="B44" t="str">
            <v xml:space="preserve"> Accrued Extended Warranty Liab</v>
          </cell>
          <cell r="S44">
            <v>20170</v>
          </cell>
          <cell r="T44" t="str">
            <v xml:space="preserve"> Accrued Employee Benefits</v>
          </cell>
          <cell r="U44">
            <v>-31.65</v>
          </cell>
        </row>
        <row r="45">
          <cell r="A45">
            <v>20190</v>
          </cell>
          <cell r="B45" t="str">
            <v xml:space="preserve"> Accured Employee Benefits</v>
          </cell>
          <cell r="S45">
            <v>20180</v>
          </cell>
          <cell r="T45" t="str">
            <v xml:space="preserve"> Accrued Warranty Liability</v>
          </cell>
          <cell r="U45">
            <v>-83335</v>
          </cell>
        </row>
        <row r="46">
          <cell r="A46">
            <v>20195</v>
          </cell>
          <cell r="B46" t="str">
            <v xml:space="preserve"> Accrued Use Tax - Equipment</v>
          </cell>
          <cell r="S46">
            <v>20185</v>
          </cell>
          <cell r="T46" t="str">
            <v xml:space="preserve"> Accrued Warranty - Soft Recall</v>
          </cell>
          <cell r="U46">
            <v>-132656.51999999999</v>
          </cell>
        </row>
        <row r="47">
          <cell r="A47">
            <v>20196</v>
          </cell>
          <cell r="B47" t="str">
            <v xml:space="preserve"> Accrued Use Tax - Parts</v>
          </cell>
          <cell r="S47">
            <v>20190</v>
          </cell>
          <cell r="T47" t="str">
            <v xml:space="preserve"> Accured Employee Benefits</v>
          </cell>
          <cell r="U47">
            <v>-4253.62</v>
          </cell>
        </row>
        <row r="48">
          <cell r="A48">
            <v>20310</v>
          </cell>
          <cell r="B48" t="str">
            <v xml:space="preserve"> Accrued State Replacement Tax</v>
          </cell>
          <cell r="S48">
            <v>20195</v>
          </cell>
          <cell r="T48" t="str">
            <v xml:space="preserve"> Accrued Use Tax - Equipment</v>
          </cell>
          <cell r="U48">
            <v>0</v>
          </cell>
        </row>
        <row r="49">
          <cell r="A49">
            <v>20320</v>
          </cell>
          <cell r="B49" t="str">
            <v xml:space="preserve"> Sales Tax Payable</v>
          </cell>
          <cell r="S49">
            <v>20196</v>
          </cell>
          <cell r="T49" t="str">
            <v xml:space="preserve"> Accrued Use Tax - Parts</v>
          </cell>
          <cell r="U49">
            <v>-15000</v>
          </cell>
        </row>
        <row r="50">
          <cell r="A50">
            <v>20400</v>
          </cell>
          <cell r="B50" t="str">
            <v xml:space="preserve"> Customer Deposits</v>
          </cell>
          <cell r="S50">
            <v>20310</v>
          </cell>
          <cell r="T50" t="str">
            <v xml:space="preserve"> Accrued State Replacement Tax</v>
          </cell>
          <cell r="U50">
            <v>-20000</v>
          </cell>
        </row>
        <row r="51">
          <cell r="A51">
            <v>20605</v>
          </cell>
          <cell r="B51" t="str">
            <v xml:space="preserve"> Dealer Floor Plan Financing</v>
          </cell>
          <cell r="S51">
            <v>20320</v>
          </cell>
          <cell r="T51" t="str">
            <v xml:space="preserve"> Sales Tax Payable</v>
          </cell>
          <cell r="U51">
            <v>0</v>
          </cell>
        </row>
        <row r="52">
          <cell r="A52">
            <v>20606</v>
          </cell>
          <cell r="B52" t="str">
            <v xml:space="preserve"> Financed Insurance Premiums</v>
          </cell>
          <cell r="S52">
            <v>20400</v>
          </cell>
          <cell r="T52" t="str">
            <v xml:space="preserve"> Customer Deposits</v>
          </cell>
          <cell r="U52">
            <v>0</v>
          </cell>
        </row>
        <row r="53">
          <cell r="A53">
            <v>20640</v>
          </cell>
          <cell r="B53" t="str">
            <v xml:space="preserve"> I/C - Settlement Funding</v>
          </cell>
          <cell r="S53">
            <v>20605</v>
          </cell>
          <cell r="T53" t="str">
            <v xml:space="preserve"> Dealer Floor Plan Financing</v>
          </cell>
          <cell r="U53">
            <v>-3761402.91</v>
          </cell>
        </row>
        <row r="54">
          <cell r="A54">
            <v>20700</v>
          </cell>
          <cell r="B54" t="str">
            <v xml:space="preserve"> PNC - ELOC Loan #1</v>
          </cell>
          <cell r="S54">
            <v>20606</v>
          </cell>
          <cell r="T54" t="str">
            <v xml:space="preserve"> Financed Insurance Premiums</v>
          </cell>
          <cell r="U54">
            <v>-61160.42</v>
          </cell>
        </row>
        <row r="55">
          <cell r="A55">
            <v>30000</v>
          </cell>
          <cell r="B55" t="str">
            <v xml:space="preserve"> Member 1 Equity</v>
          </cell>
          <cell r="S55">
            <v>20640</v>
          </cell>
          <cell r="T55" t="str">
            <v xml:space="preserve"> I/C - Settlement Funding</v>
          </cell>
          <cell r="U55">
            <v>0</v>
          </cell>
        </row>
        <row r="56">
          <cell r="A56">
            <v>30005</v>
          </cell>
          <cell r="B56" t="str">
            <v xml:space="preserve"> Member 2 Equity</v>
          </cell>
          <cell r="S56">
            <v>20700</v>
          </cell>
          <cell r="T56" t="str">
            <v xml:space="preserve"> PNC - ELOC Loan #1</v>
          </cell>
          <cell r="U56">
            <v>-1471470.22</v>
          </cell>
        </row>
        <row r="57">
          <cell r="A57">
            <v>30200</v>
          </cell>
          <cell r="B57" t="str">
            <v xml:space="preserve"> Other Comprehensive Income</v>
          </cell>
          <cell r="S57" t="str">
            <v>Opening Balance Equity</v>
          </cell>
          <cell r="T57">
            <v>0</v>
          </cell>
          <cell r="U57">
            <v>0</v>
          </cell>
        </row>
        <row r="58">
          <cell r="A58">
            <v>30500</v>
          </cell>
          <cell r="B58" t="str">
            <v xml:space="preserve"> Retained Earnings</v>
          </cell>
          <cell r="S58">
            <v>30000</v>
          </cell>
          <cell r="T58" t="str">
            <v xml:space="preserve"> Member 1 Equity</v>
          </cell>
          <cell r="U58">
            <v>-10000</v>
          </cell>
        </row>
        <row r="59">
          <cell r="A59">
            <v>40000</v>
          </cell>
          <cell r="B59" t="str">
            <v xml:space="preserve"> Sales - Equipment</v>
          </cell>
          <cell r="S59">
            <v>30005</v>
          </cell>
          <cell r="T59" t="str">
            <v xml:space="preserve"> Member 2 Equity</v>
          </cell>
          <cell r="U59">
            <v>-10000</v>
          </cell>
        </row>
        <row r="60">
          <cell r="A60">
            <v>40010</v>
          </cell>
          <cell r="B60" t="str">
            <v xml:space="preserve"> Sales - Terramac Unit - RT9</v>
          </cell>
          <cell r="S60">
            <v>30200</v>
          </cell>
          <cell r="T60" t="str">
            <v xml:space="preserve"> Other Comprehensive Income</v>
          </cell>
          <cell r="U60">
            <v>0</v>
          </cell>
        </row>
        <row r="61">
          <cell r="A61">
            <v>40020</v>
          </cell>
          <cell r="B61" t="str">
            <v xml:space="preserve"> Sales - Terramac Unit - RT14</v>
          </cell>
          <cell r="S61">
            <v>30500</v>
          </cell>
          <cell r="T61" t="str">
            <v xml:space="preserve"> Retained Earnings</v>
          </cell>
          <cell r="U61">
            <v>-422459.42</v>
          </cell>
        </row>
        <row r="62">
          <cell r="A62">
            <v>40025</v>
          </cell>
          <cell r="B62" t="str">
            <v xml:space="preserve"> Sales - Terramac Unit - RT14R</v>
          </cell>
          <cell r="S62">
            <v>40000</v>
          </cell>
          <cell r="T62" t="str">
            <v xml:space="preserve"> Sales - Equipment</v>
          </cell>
          <cell r="U62">
            <v>-10.57</v>
          </cell>
        </row>
        <row r="63">
          <cell r="A63">
            <v>40400</v>
          </cell>
          <cell r="B63" t="str">
            <v xml:space="preserve"> Sales - Parts &amp; Supplies</v>
          </cell>
          <cell r="S63">
            <v>40010</v>
          </cell>
          <cell r="T63" t="str">
            <v xml:space="preserve"> Sales - Terramac Unit - RT9</v>
          </cell>
          <cell r="U63">
            <v>-419077</v>
          </cell>
        </row>
        <row r="64">
          <cell r="A64">
            <v>40405</v>
          </cell>
          <cell r="B64" t="str">
            <v xml:space="preserve"> Restocking Charge</v>
          </cell>
          <cell r="S64">
            <v>40020</v>
          </cell>
          <cell r="T64" t="str">
            <v xml:space="preserve"> Sales - Terramac Unit - RT14</v>
          </cell>
          <cell r="U64">
            <v>-256500</v>
          </cell>
        </row>
        <row r="65">
          <cell r="A65">
            <v>40410</v>
          </cell>
          <cell r="B65" t="str">
            <v xml:space="preserve"> Sales - Attachments</v>
          </cell>
          <cell r="S65">
            <v>40025</v>
          </cell>
          <cell r="T65" t="str">
            <v xml:space="preserve"> Sales - Terramac Unit - RT14R</v>
          </cell>
          <cell r="U65">
            <v>-610000</v>
          </cell>
        </row>
        <row r="66">
          <cell r="A66">
            <v>40600</v>
          </cell>
          <cell r="B66" t="str">
            <v xml:space="preserve"> Service Labor</v>
          </cell>
          <cell r="S66">
            <v>40400</v>
          </cell>
          <cell r="T66" t="str">
            <v xml:space="preserve"> Sales - Parts &amp; Supplies</v>
          </cell>
          <cell r="U66">
            <v>-125582.85</v>
          </cell>
        </row>
        <row r="67">
          <cell r="A67">
            <v>40700</v>
          </cell>
          <cell r="B67" t="str">
            <v xml:space="preserve"> Shipping - Equipment</v>
          </cell>
          <cell r="S67">
            <v>40700</v>
          </cell>
          <cell r="T67" t="str">
            <v xml:space="preserve"> Shipping - Equipment</v>
          </cell>
          <cell r="U67">
            <v>-2650</v>
          </cell>
        </row>
        <row r="68">
          <cell r="A68">
            <v>40720</v>
          </cell>
          <cell r="B68" t="str">
            <v xml:space="preserve"> Shipping - Parts and Accessorie</v>
          </cell>
          <cell r="S68">
            <v>40720</v>
          </cell>
          <cell r="T68" t="str">
            <v xml:space="preserve"> Shipping - Parts and Accessorie</v>
          </cell>
          <cell r="U68">
            <v>-9158.59</v>
          </cell>
        </row>
        <row r="69">
          <cell r="A69">
            <v>40725</v>
          </cell>
          <cell r="B69" t="str">
            <v xml:space="preserve"> Shipping - Duties and Taxes</v>
          </cell>
          <cell r="S69">
            <v>40725</v>
          </cell>
          <cell r="T69" t="str">
            <v xml:space="preserve"> Shipping - Duties and Taxes</v>
          </cell>
          <cell r="U69">
            <v>-9.57</v>
          </cell>
        </row>
        <row r="70">
          <cell r="A70">
            <v>41010</v>
          </cell>
          <cell r="B70" t="str">
            <v xml:space="preserve"> Rental Revenue - RT9</v>
          </cell>
          <cell r="S70">
            <v>41010</v>
          </cell>
          <cell r="T70" t="str">
            <v xml:space="preserve"> Rental Revenue - RT9</v>
          </cell>
          <cell r="U70">
            <v>-3675</v>
          </cell>
        </row>
        <row r="71">
          <cell r="A71">
            <v>41015</v>
          </cell>
          <cell r="B71" t="str">
            <v xml:space="preserve"> Rental Revenue - RT14</v>
          </cell>
          <cell r="S71">
            <v>41025</v>
          </cell>
          <cell r="T71" t="str">
            <v xml:space="preserve"> Shipping - Rental</v>
          </cell>
          <cell r="U71">
            <v>-3750</v>
          </cell>
        </row>
        <row r="72">
          <cell r="A72">
            <v>41025</v>
          </cell>
          <cell r="B72" t="str">
            <v xml:space="preserve"> Shipping - Rental</v>
          </cell>
          <cell r="S72">
            <v>41060</v>
          </cell>
          <cell r="T72" t="str">
            <v xml:space="preserve"> Rental Repairs</v>
          </cell>
          <cell r="U72">
            <v>-168</v>
          </cell>
        </row>
        <row r="73">
          <cell r="A73">
            <v>41050</v>
          </cell>
          <cell r="B73" t="str">
            <v xml:space="preserve"> Rental Discounts - RT9</v>
          </cell>
          <cell r="S73">
            <v>42010</v>
          </cell>
          <cell r="T73" t="str">
            <v xml:space="preserve"> Sales Discounts - New RT9</v>
          </cell>
          <cell r="U73">
            <v>74609.98</v>
          </cell>
        </row>
        <row r="74">
          <cell r="A74">
            <v>41055</v>
          </cell>
          <cell r="B74" t="str">
            <v xml:space="preserve"> Rental Discounts - RT14</v>
          </cell>
          <cell r="S74">
            <v>42020</v>
          </cell>
          <cell r="T74" t="str">
            <v xml:space="preserve"> Sales Discounts - New RT14</v>
          </cell>
          <cell r="U74">
            <v>45605.25</v>
          </cell>
        </row>
        <row r="75">
          <cell r="A75">
            <v>41060</v>
          </cell>
          <cell r="B75" t="str">
            <v xml:space="preserve"> Rental Repairs</v>
          </cell>
          <cell r="S75">
            <v>42025</v>
          </cell>
          <cell r="T75" t="str">
            <v xml:space="preserve"> Sales Discounts - New RT14-R</v>
          </cell>
          <cell r="U75">
            <v>103185</v>
          </cell>
        </row>
        <row r="76">
          <cell r="A76">
            <v>41065</v>
          </cell>
          <cell r="B76" t="str">
            <v xml:space="preserve"> Environmental Fees</v>
          </cell>
          <cell r="S76">
            <v>42400</v>
          </cell>
          <cell r="T76" t="str">
            <v xml:space="preserve"> Sales Discounts - Parts</v>
          </cell>
          <cell r="U76">
            <v>15220.86</v>
          </cell>
        </row>
        <row r="77">
          <cell r="A77">
            <v>42010</v>
          </cell>
          <cell r="B77" t="str">
            <v xml:space="preserve"> Sales Discounts - New RT9</v>
          </cell>
          <cell r="S77">
            <v>50000</v>
          </cell>
          <cell r="T77" t="str">
            <v xml:space="preserve"> Cost of Goods Sold - Equipment</v>
          </cell>
          <cell r="U77">
            <v>199.39</v>
          </cell>
        </row>
        <row r="78">
          <cell r="A78">
            <v>42020</v>
          </cell>
          <cell r="B78" t="str">
            <v xml:space="preserve"> Sales Discounts - New RT14</v>
          </cell>
          <cell r="S78">
            <v>50010</v>
          </cell>
          <cell r="T78" t="str">
            <v xml:space="preserve"> COGS - Terramac Units - RT9</v>
          </cell>
          <cell r="U78">
            <v>256521.89</v>
          </cell>
        </row>
        <row r="79">
          <cell r="A79">
            <v>42025</v>
          </cell>
          <cell r="B79" t="str">
            <v xml:space="preserve"> Sales Discounts - New RT14-R</v>
          </cell>
          <cell r="S79">
            <v>50014</v>
          </cell>
          <cell r="T79" t="str">
            <v xml:space="preserve"> COGS - Inbound Shipping - RT9</v>
          </cell>
          <cell r="U79">
            <v>-1248.98</v>
          </cell>
        </row>
        <row r="80">
          <cell r="A80">
            <v>42400</v>
          </cell>
          <cell r="B80" t="str">
            <v xml:space="preserve"> Sales Discounts - Parts</v>
          </cell>
          <cell r="S80">
            <v>50020</v>
          </cell>
          <cell r="T80" t="str">
            <v xml:space="preserve"> COGS - Terramac Units - RT14</v>
          </cell>
          <cell r="U80">
            <v>153549.51</v>
          </cell>
        </row>
        <row r="81">
          <cell r="A81">
            <v>50000</v>
          </cell>
          <cell r="B81" t="str">
            <v xml:space="preserve"> Cost of Goods Sold - Equipment</v>
          </cell>
          <cell r="S81">
            <v>50024</v>
          </cell>
          <cell r="T81" t="str">
            <v xml:space="preserve"> COGS - Inbound Shipping - RT14</v>
          </cell>
          <cell r="U81">
            <v>4905.7299999999996</v>
          </cell>
        </row>
        <row r="82">
          <cell r="A82">
            <v>50010</v>
          </cell>
          <cell r="B82" t="str">
            <v xml:space="preserve"> COGS - Terramac Units - RT9</v>
          </cell>
          <cell r="S82">
            <v>50620</v>
          </cell>
          <cell r="T82" t="str">
            <v xml:space="preserve"> COGS - Terramac Check-In - RT9</v>
          </cell>
          <cell r="U82">
            <v>3534.05</v>
          </cell>
        </row>
        <row r="83">
          <cell r="A83">
            <v>50011</v>
          </cell>
          <cell r="B83" t="str">
            <v xml:space="preserve"> COGS - Purchase Discounts - RT9</v>
          </cell>
          <cell r="S83">
            <v>50622</v>
          </cell>
          <cell r="T83" t="str">
            <v xml:space="preserve"> COGS - Terramac Check in - RT14</v>
          </cell>
          <cell r="U83">
            <v>2760.6</v>
          </cell>
        </row>
        <row r="84">
          <cell r="A84">
            <v>50012</v>
          </cell>
          <cell r="B84" t="str">
            <v xml:space="preserve"> COGS - Transaction Gain on RT9</v>
          </cell>
          <cell r="S84">
            <v>51100</v>
          </cell>
          <cell r="T84" t="str">
            <v xml:space="preserve"> COGS - Shop Supplies - Equip</v>
          </cell>
          <cell r="U84">
            <v>-468.08</v>
          </cell>
        </row>
        <row r="85">
          <cell r="A85">
            <v>50014</v>
          </cell>
          <cell r="B85" t="str">
            <v xml:space="preserve"> COGS - Inbound Shipping - RT9</v>
          </cell>
          <cell r="S85">
            <v>61370</v>
          </cell>
          <cell r="T85" t="str">
            <v xml:space="preserve"> COGS - Outside Services</v>
          </cell>
          <cell r="U85">
            <v>8900</v>
          </cell>
        </row>
        <row r="86">
          <cell r="A86">
            <v>50020</v>
          </cell>
          <cell r="B86" t="str">
            <v xml:space="preserve"> COGS - Terramac Units - RT14</v>
          </cell>
          <cell r="S86">
            <v>50105</v>
          </cell>
          <cell r="T86" t="str">
            <v xml:space="preserve"> COGS - Terramac Units - RT14-R</v>
          </cell>
          <cell r="U86">
            <v>367827.03</v>
          </cell>
        </row>
        <row r="87">
          <cell r="A87">
            <v>50021</v>
          </cell>
          <cell r="B87" t="str">
            <v xml:space="preserve"> COGS - Purchase Discounts- RT14</v>
          </cell>
          <cell r="S87">
            <v>50110</v>
          </cell>
          <cell r="T87" t="str">
            <v xml:space="preserve"> COGS - Purchase Discounts</v>
          </cell>
          <cell r="U87">
            <v>-882.27</v>
          </cell>
        </row>
        <row r="88">
          <cell r="A88">
            <v>50022</v>
          </cell>
          <cell r="B88" t="str">
            <v xml:space="preserve"> COGS - Transaction Gain on RT14</v>
          </cell>
          <cell r="S88">
            <v>50115</v>
          </cell>
          <cell r="T88" t="str">
            <v xml:space="preserve"> COGS - Inbound Shipping - RT14R</v>
          </cell>
          <cell r="U88">
            <v>1786.2</v>
          </cell>
        </row>
        <row r="89">
          <cell r="A89">
            <v>50024</v>
          </cell>
          <cell r="B89" t="str">
            <v xml:space="preserve"> COGS - Inbound Shipping - RT14</v>
          </cell>
          <cell r="S89">
            <v>50120</v>
          </cell>
          <cell r="T89" t="str">
            <v xml:space="preserve"> COGS - Inbound Shipping - Parts</v>
          </cell>
          <cell r="U89">
            <v>9635.7800000000007</v>
          </cell>
        </row>
        <row r="90">
          <cell r="A90">
            <v>50100</v>
          </cell>
          <cell r="B90" t="str">
            <v xml:space="preserve"> RT14-R</v>
          </cell>
          <cell r="S90">
            <v>50125</v>
          </cell>
          <cell r="T90" t="str">
            <v xml:space="preserve"> COGS - Parts Manual</v>
          </cell>
          <cell r="U90">
            <v>1413.4</v>
          </cell>
        </row>
        <row r="91">
          <cell r="A91">
            <v>50105</v>
          </cell>
          <cell r="B91" t="str">
            <v xml:space="preserve"> COGS - Terramac Units - RT14-R</v>
          </cell>
          <cell r="S91">
            <v>50130</v>
          </cell>
          <cell r="T91" t="str">
            <v xml:space="preserve"> COGS - PreDelivery Inspection</v>
          </cell>
          <cell r="U91">
            <v>2053.69</v>
          </cell>
        </row>
        <row r="92">
          <cell r="A92">
            <v>50110</v>
          </cell>
          <cell r="B92" t="str">
            <v xml:space="preserve"> COGS - Purchase Discounts</v>
          </cell>
          <cell r="S92">
            <v>50220</v>
          </cell>
          <cell r="T92" t="str">
            <v xml:space="preserve"> COGS - Inbound Ship - RT6 Parts</v>
          </cell>
          <cell r="U92">
            <v>40</v>
          </cell>
        </row>
        <row r="93">
          <cell r="A93">
            <v>50115</v>
          </cell>
          <cell r="B93" t="str">
            <v xml:space="preserve"> COGS - Inbound Shipping - RT14R</v>
          </cell>
          <cell r="S93">
            <v>50225</v>
          </cell>
          <cell r="T93" t="str">
            <v xml:space="preserve"> COGS - Parts Manual RT6</v>
          </cell>
          <cell r="U93">
            <v>4410</v>
          </cell>
        </row>
        <row r="94">
          <cell r="A94">
            <v>50120</v>
          </cell>
          <cell r="B94" t="str">
            <v xml:space="preserve"> COGS - Inbound Shipping - Parts</v>
          </cell>
          <cell r="S94">
            <v>50400</v>
          </cell>
          <cell r="T94" t="str">
            <v xml:space="preserve"> COGS - Parts and Supplies</v>
          </cell>
          <cell r="U94">
            <v>76932.7</v>
          </cell>
        </row>
        <row r="95">
          <cell r="A95">
            <v>50125</v>
          </cell>
          <cell r="B95" t="str">
            <v xml:space="preserve"> COGS - Parts Manual</v>
          </cell>
          <cell r="S95">
            <v>50405</v>
          </cell>
          <cell r="T95" t="str">
            <v xml:space="preserve"> COGS - Inbound Shipping - Parts</v>
          </cell>
          <cell r="U95">
            <v>-990.74</v>
          </cell>
        </row>
        <row r="96">
          <cell r="A96">
            <v>50130</v>
          </cell>
          <cell r="B96" t="str">
            <v xml:space="preserve"> COGS - PreDelivery Inspection</v>
          </cell>
          <cell r="S96">
            <v>50450</v>
          </cell>
          <cell r="T96" t="str">
            <v xml:space="preserve"> COGS - Transaction Gain on Part</v>
          </cell>
          <cell r="U96">
            <v>-21740.62</v>
          </cell>
        </row>
        <row r="97">
          <cell r="A97">
            <v>50220</v>
          </cell>
          <cell r="B97" t="str">
            <v xml:space="preserve"> COGS - Inbound Ship - RT6 Parts</v>
          </cell>
          <cell r="S97">
            <v>50465</v>
          </cell>
          <cell r="T97" t="str">
            <v xml:space="preserve"> COGS - Shop Supplies - Parts</v>
          </cell>
          <cell r="U97">
            <v>2931.81</v>
          </cell>
        </row>
        <row r="98">
          <cell r="A98">
            <v>50225</v>
          </cell>
          <cell r="B98" t="str">
            <v xml:space="preserve"> COGS - Parts Manual RT6</v>
          </cell>
          <cell r="S98">
            <v>50490</v>
          </cell>
          <cell r="T98" t="str">
            <v xml:space="preserve"> COGS - Purchase Discounts Parts</v>
          </cell>
          <cell r="U98">
            <v>-1879.37</v>
          </cell>
        </row>
        <row r="99">
          <cell r="A99">
            <v>50400</v>
          </cell>
          <cell r="B99" t="str">
            <v xml:space="preserve"> COGS - Parts and Supplies</v>
          </cell>
          <cell r="S99">
            <v>51500</v>
          </cell>
          <cell r="T99" t="str">
            <v xml:space="preserve"> COGS - Inventory Adjustments</v>
          </cell>
          <cell r="U99">
            <v>885.19</v>
          </cell>
        </row>
        <row r="100">
          <cell r="A100">
            <v>50405</v>
          </cell>
          <cell r="B100" t="str">
            <v xml:space="preserve"> COGS - Inbound Shipping - Parts</v>
          </cell>
          <cell r="S100">
            <v>50700</v>
          </cell>
          <cell r="T100" t="str">
            <v xml:space="preserve"> COGS - Shipping Equipment</v>
          </cell>
          <cell r="U100">
            <v>7578.06</v>
          </cell>
        </row>
        <row r="101">
          <cell r="A101">
            <v>50410</v>
          </cell>
          <cell r="B101" t="str">
            <v xml:space="preserve"> COGS - Attachments</v>
          </cell>
          <cell r="S101">
            <v>50710</v>
          </cell>
          <cell r="T101" t="str">
            <v xml:space="preserve"> COGS - Shipping Parts</v>
          </cell>
          <cell r="U101">
            <v>6169.86</v>
          </cell>
        </row>
        <row r="102">
          <cell r="A102">
            <v>50415</v>
          </cell>
          <cell r="B102" t="str">
            <v xml:space="preserve"> COGS - Manuals - RT9</v>
          </cell>
          <cell r="S102">
            <v>50820</v>
          </cell>
          <cell r="T102" t="str">
            <v xml:space="preserve"> Salaries - Parts</v>
          </cell>
          <cell r="U102">
            <v>17169.240000000002</v>
          </cell>
        </row>
        <row r="103">
          <cell r="A103">
            <v>50450</v>
          </cell>
          <cell r="B103" t="str">
            <v xml:space="preserve"> COGS - Transaction Gain on Part</v>
          </cell>
          <cell r="S103">
            <v>50822</v>
          </cell>
          <cell r="T103" t="str">
            <v xml:space="preserve"> Employee Benefits - Parts</v>
          </cell>
          <cell r="U103">
            <v>361.76</v>
          </cell>
        </row>
        <row r="104">
          <cell r="A104">
            <v>50465</v>
          </cell>
          <cell r="B104" t="str">
            <v xml:space="preserve"> COGS - Shop Supplies - Parts</v>
          </cell>
          <cell r="S104">
            <v>50910</v>
          </cell>
          <cell r="T104" t="str">
            <v xml:space="preserve"> P/R Taxes - Parts</v>
          </cell>
          <cell r="U104">
            <v>1928.31</v>
          </cell>
        </row>
        <row r="105">
          <cell r="A105">
            <v>50490</v>
          </cell>
          <cell r="B105" t="str">
            <v xml:space="preserve"> COGS - Purchase Discounts Parts</v>
          </cell>
          <cell r="S105">
            <v>51010</v>
          </cell>
          <cell r="T105" t="str">
            <v xml:space="preserve"> COGS - Wnty Outside Repair- RT9</v>
          </cell>
          <cell r="U105">
            <v>9265</v>
          </cell>
        </row>
        <row r="106">
          <cell r="A106">
            <v>50520</v>
          </cell>
          <cell r="B106" t="str">
            <v xml:space="preserve"> COGS - Commission Used Equip.</v>
          </cell>
          <cell r="S106">
            <v>51020</v>
          </cell>
          <cell r="T106" t="str">
            <v xml:space="preserve"> COGS - Wnty Parts Expense-RT9</v>
          </cell>
          <cell r="U106">
            <v>620.63</v>
          </cell>
        </row>
        <row r="107">
          <cell r="A107">
            <v>50550</v>
          </cell>
          <cell r="B107" t="str">
            <v xml:space="preserve"> COGS - Commission Terramac</v>
          </cell>
          <cell r="S107">
            <v>51030</v>
          </cell>
          <cell r="T107" t="str">
            <v xml:space="preserve"> COGS - Warranty Shipping - RT9</v>
          </cell>
          <cell r="U107">
            <v>121.52</v>
          </cell>
        </row>
        <row r="108">
          <cell r="A108">
            <v>50620</v>
          </cell>
          <cell r="B108" t="str">
            <v xml:space="preserve"> COGS - Terramac Check-In</v>
          </cell>
          <cell r="S108">
            <v>51210</v>
          </cell>
          <cell r="T108" t="str">
            <v xml:space="preserve"> COGS - Wnty Outside Repair-RT14</v>
          </cell>
          <cell r="U108">
            <v>-26284.95</v>
          </cell>
        </row>
        <row r="109">
          <cell r="A109">
            <v>50622</v>
          </cell>
          <cell r="B109" t="str">
            <v xml:space="preserve"> COGS - Terramac Check in - RT14</v>
          </cell>
          <cell r="S109">
            <v>51220</v>
          </cell>
          <cell r="T109" t="str">
            <v xml:space="preserve"> COGS - Wnty Parts Expense-RT14</v>
          </cell>
          <cell r="U109">
            <v>4212.47</v>
          </cell>
        </row>
        <row r="110">
          <cell r="A110">
            <v>50700</v>
          </cell>
          <cell r="B110" t="str">
            <v xml:space="preserve"> COGS - Shipping Equipment</v>
          </cell>
          <cell r="S110">
            <v>51230</v>
          </cell>
          <cell r="T110" t="str">
            <v xml:space="preserve"> COGS - Wnty Shipping - RT14</v>
          </cell>
          <cell r="U110">
            <v>1321.63</v>
          </cell>
        </row>
        <row r="111">
          <cell r="A111">
            <v>50710</v>
          </cell>
          <cell r="B111" t="str">
            <v xml:space="preserve"> COGS - Shipping Parts</v>
          </cell>
          <cell r="S111">
            <v>51310</v>
          </cell>
          <cell r="T111" t="str">
            <v xml:space="preserve"> COGS-Wnty Outside Repair-RT14R</v>
          </cell>
          <cell r="U111">
            <v>9370</v>
          </cell>
        </row>
        <row r="112">
          <cell r="A112">
            <v>50715</v>
          </cell>
          <cell r="B112" t="str">
            <v xml:space="preserve"> COGS - Inbound Prod Pts. Ship</v>
          </cell>
          <cell r="S112">
            <v>50800</v>
          </cell>
          <cell r="T112" t="str">
            <v xml:space="preserve"> Salaries and Wages - Service</v>
          </cell>
          <cell r="U112">
            <v>28973.25</v>
          </cell>
        </row>
        <row r="113">
          <cell r="A113">
            <v>50720</v>
          </cell>
          <cell r="B113" t="str">
            <v xml:space="preserve"> COGS - Shipping Demo Equipment</v>
          </cell>
          <cell r="S113">
            <v>50825</v>
          </cell>
          <cell r="T113" t="str">
            <v xml:space="preserve"> Employee Benefits - Service</v>
          </cell>
          <cell r="U113">
            <v>869.19</v>
          </cell>
        </row>
        <row r="114">
          <cell r="A114">
            <v>50800</v>
          </cell>
          <cell r="B114" t="str">
            <v xml:space="preserve"> Salaries and Wages - Service</v>
          </cell>
          <cell r="S114">
            <v>50900</v>
          </cell>
          <cell r="T114" t="str">
            <v xml:space="preserve"> Payroll Taxes - Service</v>
          </cell>
          <cell r="U114">
            <v>3081.95</v>
          </cell>
        </row>
        <row r="115">
          <cell r="A115">
            <v>50819</v>
          </cell>
          <cell r="B115" t="str">
            <v xml:space="preserve"> Parts Dept. Expenses</v>
          </cell>
          <cell r="S115">
            <v>50920</v>
          </cell>
          <cell r="T115" t="str">
            <v xml:space="preserve"> COGS - Service Hotel</v>
          </cell>
          <cell r="U115">
            <v>453.35</v>
          </cell>
        </row>
        <row r="116">
          <cell r="A116">
            <v>50820</v>
          </cell>
          <cell r="B116" t="str">
            <v xml:space="preserve"> Salaries - Parts</v>
          </cell>
          <cell r="S116">
            <v>50922</v>
          </cell>
          <cell r="T116" t="str">
            <v xml:space="preserve"> COGS - Service Transportation</v>
          </cell>
          <cell r="U116">
            <v>707.05</v>
          </cell>
        </row>
        <row r="117">
          <cell r="A117">
            <v>50822</v>
          </cell>
          <cell r="B117" t="str">
            <v xml:space="preserve"> Employee Benefits - Parts</v>
          </cell>
          <cell r="S117">
            <v>50924</v>
          </cell>
          <cell r="T117" t="str">
            <v xml:space="preserve"> COGS - Service Meals</v>
          </cell>
          <cell r="U117">
            <v>286.5</v>
          </cell>
        </row>
        <row r="118">
          <cell r="A118">
            <v>50825</v>
          </cell>
          <cell r="B118" t="str">
            <v xml:space="preserve"> Employee Benefits - Service</v>
          </cell>
          <cell r="S118">
            <v>50926</v>
          </cell>
          <cell r="T118" t="str">
            <v xml:space="preserve"> COGS - Misc. Service Parts</v>
          </cell>
          <cell r="U118">
            <v>102.44</v>
          </cell>
        </row>
        <row r="119">
          <cell r="A119">
            <v>50852</v>
          </cell>
          <cell r="B119" t="str">
            <v xml:space="preserve"> Shippping Supplies - Parts</v>
          </cell>
          <cell r="S119">
            <v>53010</v>
          </cell>
          <cell r="T119" t="str">
            <v xml:space="preserve"> COGS - Rental Shipping</v>
          </cell>
          <cell r="U119">
            <v>5575</v>
          </cell>
        </row>
        <row r="120">
          <cell r="A120">
            <v>50900</v>
          </cell>
          <cell r="B120" t="str">
            <v xml:space="preserve"> Payroll Taxes - Service</v>
          </cell>
          <cell r="S120">
            <v>53013</v>
          </cell>
          <cell r="T120" t="str">
            <v xml:space="preserve"> COGS - ReRent Expense - RT14</v>
          </cell>
          <cell r="U120">
            <v>-7000</v>
          </cell>
        </row>
        <row r="121">
          <cell r="A121">
            <v>50910</v>
          </cell>
          <cell r="B121" t="str">
            <v xml:space="preserve"> P/R Taxes - Parts</v>
          </cell>
          <cell r="S121">
            <v>53020</v>
          </cell>
          <cell r="T121" t="str">
            <v xml:space="preserve"> COGS - Rental Outside Repairs</v>
          </cell>
          <cell r="U121">
            <v>168</v>
          </cell>
        </row>
        <row r="122">
          <cell r="A122">
            <v>50920</v>
          </cell>
          <cell r="B122" t="str">
            <v xml:space="preserve"> COGS - Service Hotel</v>
          </cell>
          <cell r="S122">
            <v>53062</v>
          </cell>
          <cell r="T122" t="str">
            <v xml:space="preserve"> COGS - Rental Lease Back Exp.</v>
          </cell>
          <cell r="U122">
            <v>19764.169999999998</v>
          </cell>
        </row>
        <row r="123">
          <cell r="A123">
            <v>50922</v>
          </cell>
          <cell r="B123" t="str">
            <v xml:space="preserve"> COGS - Service Transportation</v>
          </cell>
          <cell r="S123">
            <v>60002</v>
          </cell>
          <cell r="T123" t="str">
            <v xml:space="preserve"> Advertising</v>
          </cell>
          <cell r="U123">
            <v>1813</v>
          </cell>
        </row>
        <row r="124">
          <cell r="A124">
            <v>50924</v>
          </cell>
          <cell r="B124" t="str">
            <v xml:space="preserve"> COGS - Service Meals</v>
          </cell>
          <cell r="S124">
            <v>60010</v>
          </cell>
          <cell r="T124" t="str">
            <v xml:space="preserve"> Dues</v>
          </cell>
          <cell r="U124">
            <v>1598.33</v>
          </cell>
        </row>
        <row r="125">
          <cell r="A125">
            <v>50926</v>
          </cell>
          <cell r="B125" t="str">
            <v xml:space="preserve"> COGS - Misc. Service Parts</v>
          </cell>
          <cell r="S125">
            <v>60020</v>
          </cell>
          <cell r="T125" t="str">
            <v xml:space="preserve"> Printed Collateral</v>
          </cell>
          <cell r="U125">
            <v>1248.8699999999999</v>
          </cell>
        </row>
        <row r="126">
          <cell r="A126">
            <v>51010</v>
          </cell>
          <cell r="B126" t="str">
            <v xml:space="preserve"> COGS - Wnty Outside Repair- RT9</v>
          </cell>
          <cell r="S126">
            <v>60030</v>
          </cell>
          <cell r="T126" t="str">
            <v xml:space="preserve"> Marketing</v>
          </cell>
          <cell r="U126">
            <v>3896.79</v>
          </cell>
        </row>
        <row r="127">
          <cell r="A127">
            <v>51015</v>
          </cell>
          <cell r="B127" t="str">
            <v xml:space="preserve"> COGS - Wnty Rental Expense-RT9</v>
          </cell>
          <cell r="S127">
            <v>60032</v>
          </cell>
          <cell r="T127" t="str">
            <v xml:space="preserve"> Monthly Support Services</v>
          </cell>
          <cell r="U127">
            <v>5000</v>
          </cell>
        </row>
        <row r="128">
          <cell r="A128">
            <v>51020</v>
          </cell>
          <cell r="B128" t="str">
            <v xml:space="preserve"> COGS - Wnty Parts Expense-RT9</v>
          </cell>
          <cell r="S128">
            <v>60040</v>
          </cell>
          <cell r="T128" t="str">
            <v xml:space="preserve"> Promotional Items</v>
          </cell>
          <cell r="U128">
            <v>1065.58</v>
          </cell>
        </row>
        <row r="129">
          <cell r="A129">
            <v>51030</v>
          </cell>
          <cell r="B129" t="str">
            <v xml:space="preserve"> COGS - Warranty Shipping - RT9</v>
          </cell>
          <cell r="S129">
            <v>60045</v>
          </cell>
          <cell r="T129" t="str">
            <v xml:space="preserve"> Shipping</v>
          </cell>
          <cell r="U129">
            <v>87.22</v>
          </cell>
        </row>
        <row r="130">
          <cell r="A130">
            <v>51040</v>
          </cell>
          <cell r="B130" t="str">
            <v xml:space="preserve"> COGS - Warranty Travel - RT9</v>
          </cell>
          <cell r="S130">
            <v>60060</v>
          </cell>
          <cell r="T130" t="str">
            <v xml:space="preserve"> Website</v>
          </cell>
          <cell r="U130">
            <v>399</v>
          </cell>
        </row>
        <row r="131">
          <cell r="A131">
            <v>51100</v>
          </cell>
          <cell r="B131" t="str">
            <v xml:space="preserve"> COGS - Warehouse Expense</v>
          </cell>
          <cell r="S131">
            <v>60050</v>
          </cell>
          <cell r="T131" t="str">
            <v xml:space="preserve"> Trade Shows</v>
          </cell>
          <cell r="U131">
            <v>0</v>
          </cell>
        </row>
        <row r="132">
          <cell r="A132">
            <v>51210</v>
          </cell>
          <cell r="B132" t="str">
            <v xml:space="preserve"> COGS - Wnty Outside Repair-RT14</v>
          </cell>
          <cell r="S132">
            <v>60051</v>
          </cell>
          <cell r="T132" t="str">
            <v xml:space="preserve"> Trade Show - Transportation</v>
          </cell>
          <cell r="U132">
            <v>23</v>
          </cell>
        </row>
        <row r="133">
          <cell r="A133">
            <v>51215</v>
          </cell>
          <cell r="B133" t="str">
            <v xml:space="preserve"> COGS - Wnty Rental Expense-RT14</v>
          </cell>
          <cell r="S133">
            <v>60053</v>
          </cell>
          <cell r="T133" t="str">
            <v xml:space="preserve"> Trade Show - Material/Setup</v>
          </cell>
          <cell r="U133">
            <v>61.98</v>
          </cell>
        </row>
        <row r="134">
          <cell r="A134">
            <v>51220</v>
          </cell>
          <cell r="B134" t="str">
            <v xml:space="preserve"> COGS - Wnty Parts Expense-RT14</v>
          </cell>
          <cell r="S134">
            <v>60054</v>
          </cell>
          <cell r="T134" t="str">
            <v xml:space="preserve"> Trade Show - Marketing Travel</v>
          </cell>
          <cell r="U134">
            <v>933.23</v>
          </cell>
        </row>
        <row r="135">
          <cell r="A135">
            <v>51230</v>
          </cell>
          <cell r="B135" t="str">
            <v xml:space="preserve"> COGS - Wnty Shipping - RT14</v>
          </cell>
          <cell r="S135">
            <v>60056</v>
          </cell>
          <cell r="T135" t="str">
            <v xml:space="preserve"> Trade Show - Meals</v>
          </cell>
          <cell r="U135">
            <v>477.67</v>
          </cell>
        </row>
        <row r="136">
          <cell r="A136">
            <v>51240</v>
          </cell>
          <cell r="B136" t="str">
            <v xml:space="preserve"> COGS - Wnty Travel - RT14</v>
          </cell>
          <cell r="S136">
            <v>60057</v>
          </cell>
          <cell r="T136" t="str">
            <v xml:space="preserve"> Trade Show - Participation Fees</v>
          </cell>
          <cell r="U136">
            <v>2082.83</v>
          </cell>
        </row>
        <row r="137">
          <cell r="A137">
            <v>51310</v>
          </cell>
          <cell r="B137" t="str">
            <v xml:space="preserve"> COGS-Wnty Outside Repair-RT14R</v>
          </cell>
          <cell r="S137">
            <v>60079</v>
          </cell>
          <cell r="T137" t="str">
            <v xml:space="preserve"> Dealer Appreciation Events</v>
          </cell>
          <cell r="U137">
            <v>23984</v>
          </cell>
        </row>
        <row r="138">
          <cell r="A138">
            <v>51500</v>
          </cell>
          <cell r="B138" t="str">
            <v xml:space="preserve"> COGS - Inventory Adjustments</v>
          </cell>
          <cell r="S138">
            <v>61060</v>
          </cell>
          <cell r="T138" t="str">
            <v xml:space="preserve"> Salaries - Marketing</v>
          </cell>
          <cell r="U138">
            <v>9031.91</v>
          </cell>
        </row>
        <row r="139">
          <cell r="A139">
            <v>53000</v>
          </cell>
          <cell r="B139" t="str">
            <v xml:space="preserve"> Rental Departmental Expenses</v>
          </cell>
          <cell r="S139">
            <v>61062</v>
          </cell>
          <cell r="T139" t="str">
            <v xml:space="preserve"> Employee Benefits - Marketig</v>
          </cell>
          <cell r="U139">
            <v>270.95</v>
          </cell>
        </row>
        <row r="140">
          <cell r="A140">
            <v>53005</v>
          </cell>
          <cell r="B140" t="str">
            <v xml:space="preserve"> COGS - Rental Wages</v>
          </cell>
          <cell r="S140">
            <v>61120</v>
          </cell>
          <cell r="T140" t="str">
            <v xml:space="preserve"> P/R Taxes - Marketing</v>
          </cell>
          <cell r="U140">
            <v>1062.6400000000001</v>
          </cell>
        </row>
        <row r="141">
          <cell r="A141">
            <v>53006</v>
          </cell>
          <cell r="B141" t="str">
            <v xml:space="preserve"> COGS - PR Taxes Rental</v>
          </cell>
          <cell r="S141">
            <v>60090</v>
          </cell>
          <cell r="T141" t="str">
            <v xml:space="preserve"> Allocated Expenses from RSI</v>
          </cell>
          <cell r="U141">
            <v>589.41999999999996</v>
          </cell>
        </row>
        <row r="142">
          <cell r="A142">
            <v>53010</v>
          </cell>
          <cell r="B142" t="str">
            <v xml:space="preserve"> COGS - Rental Shipping</v>
          </cell>
          <cell r="S142">
            <v>60200</v>
          </cell>
          <cell r="T142" t="str">
            <v xml:space="preserve"> Bank Service Charges</v>
          </cell>
          <cell r="U142">
            <v>20.010000000000002</v>
          </cell>
        </row>
        <row r="143">
          <cell r="A143">
            <v>53012</v>
          </cell>
          <cell r="B143" t="str">
            <v xml:space="preserve"> COGS - ReRent Expense - RT9</v>
          </cell>
          <cell r="S143">
            <v>60400</v>
          </cell>
          <cell r="T143" t="str">
            <v xml:space="preserve"> Dues and Subscriptions</v>
          </cell>
          <cell r="U143">
            <v>404.74</v>
          </cell>
        </row>
        <row r="144">
          <cell r="A144">
            <v>53013</v>
          </cell>
          <cell r="B144" t="str">
            <v xml:space="preserve"> COGS - ReRent Expense - RT14</v>
          </cell>
          <cell r="S144">
            <v>60520</v>
          </cell>
          <cell r="T144" t="str">
            <v xml:space="preserve"> Life and Disability Insurance</v>
          </cell>
          <cell r="U144">
            <v>1175.6600000000001</v>
          </cell>
        </row>
        <row r="145">
          <cell r="A145">
            <v>53014</v>
          </cell>
          <cell r="B145" t="str">
            <v xml:space="preserve"> COGS - ReRent Expense - Attach</v>
          </cell>
          <cell r="S145">
            <v>60530</v>
          </cell>
          <cell r="T145" t="str">
            <v xml:space="preserve"> Health Insurance</v>
          </cell>
          <cell r="U145">
            <v>326.14999999999998</v>
          </cell>
        </row>
        <row r="146">
          <cell r="A146">
            <v>53020</v>
          </cell>
          <cell r="B146" t="str">
            <v xml:space="preserve"> COGS - Rental Outside Repairs</v>
          </cell>
          <cell r="S146">
            <v>60560</v>
          </cell>
          <cell r="T146" t="str">
            <v xml:space="preserve"> General Liability Insurance</v>
          </cell>
          <cell r="U146">
            <v>14487.58</v>
          </cell>
        </row>
        <row r="147">
          <cell r="A147">
            <v>53062</v>
          </cell>
          <cell r="B147" t="str">
            <v xml:space="preserve"> COGS - Rental Lease Back Exp.</v>
          </cell>
          <cell r="S147">
            <v>60700</v>
          </cell>
          <cell r="T147" t="str">
            <v xml:space="preserve"> Business Licenses and Permits</v>
          </cell>
          <cell r="U147">
            <v>647.05999999999995</v>
          </cell>
        </row>
        <row r="148">
          <cell r="A148">
            <v>60000</v>
          </cell>
          <cell r="B148" t="str">
            <v xml:space="preserve"> Advertising and Promotion</v>
          </cell>
          <cell r="S148">
            <v>60900</v>
          </cell>
          <cell r="T148" t="str">
            <v xml:space="preserve"> Office Supplies</v>
          </cell>
          <cell r="U148">
            <v>290.67</v>
          </cell>
        </row>
        <row r="149">
          <cell r="A149">
            <v>60002</v>
          </cell>
          <cell r="B149" t="str">
            <v xml:space="preserve"> Advertising</v>
          </cell>
          <cell r="S149">
            <v>61010</v>
          </cell>
          <cell r="T149" t="str">
            <v xml:space="preserve"> Salaries - Office</v>
          </cell>
          <cell r="U149">
            <v>16457.419999999998</v>
          </cell>
        </row>
        <row r="150">
          <cell r="A150">
            <v>60005</v>
          </cell>
          <cell r="B150" t="str">
            <v xml:space="preserve"> Conventions &amp; Seminars</v>
          </cell>
          <cell r="S150">
            <v>61012</v>
          </cell>
          <cell r="T150" t="str">
            <v xml:space="preserve"> Employee Benefits</v>
          </cell>
          <cell r="U150">
            <v>-4157.6000000000004</v>
          </cell>
        </row>
        <row r="151">
          <cell r="A151">
            <v>60010</v>
          </cell>
          <cell r="B151" t="str">
            <v xml:space="preserve"> Dues</v>
          </cell>
          <cell r="S151">
            <v>61100</v>
          </cell>
          <cell r="T151" t="str">
            <v xml:space="preserve"> Payroll Taxes - Office</v>
          </cell>
          <cell r="U151">
            <v>-3504.67</v>
          </cell>
        </row>
        <row r="152">
          <cell r="A152">
            <v>60015</v>
          </cell>
          <cell r="B152" t="str">
            <v xml:space="preserve"> Public Relations</v>
          </cell>
          <cell r="S152">
            <v>61020</v>
          </cell>
          <cell r="T152" t="str">
            <v xml:space="preserve"> Salaries - Sales</v>
          </cell>
          <cell r="U152">
            <v>70735.7</v>
          </cell>
        </row>
        <row r="153">
          <cell r="A153">
            <v>60020</v>
          </cell>
          <cell r="B153" t="str">
            <v xml:space="preserve"> Printed Collateral</v>
          </cell>
          <cell r="S153">
            <v>61021</v>
          </cell>
          <cell r="T153" t="str">
            <v xml:space="preserve"> Employee Beneifts - Sales</v>
          </cell>
          <cell r="U153">
            <v>1910.52</v>
          </cell>
        </row>
        <row r="154">
          <cell r="A154">
            <v>60025</v>
          </cell>
          <cell r="B154" t="str">
            <v xml:space="preserve"> Video</v>
          </cell>
          <cell r="S154">
            <v>61022</v>
          </cell>
          <cell r="T154" t="str">
            <v xml:space="preserve"> Payroll Taxes - Sales</v>
          </cell>
          <cell r="U154">
            <v>9198.93</v>
          </cell>
        </row>
        <row r="155">
          <cell r="A155">
            <v>60030</v>
          </cell>
          <cell r="B155" t="str">
            <v xml:space="preserve"> Marketing</v>
          </cell>
          <cell r="S155">
            <v>61023</v>
          </cell>
          <cell r="T155" t="str">
            <v xml:space="preserve"> Allowance</v>
          </cell>
          <cell r="U155">
            <v>12286.13</v>
          </cell>
        </row>
        <row r="156">
          <cell r="A156">
            <v>60032</v>
          </cell>
          <cell r="B156" t="str">
            <v xml:space="preserve"> Monthly Support Services</v>
          </cell>
          <cell r="S156">
            <v>61050</v>
          </cell>
          <cell r="T156" t="str">
            <v xml:space="preserve"> Commissions</v>
          </cell>
          <cell r="U156">
            <v>17661.62</v>
          </cell>
        </row>
        <row r="157">
          <cell r="A157">
            <v>60035</v>
          </cell>
          <cell r="B157" t="str">
            <v xml:space="preserve"> Dealer Co-op Expenses</v>
          </cell>
          <cell r="S157">
            <v>61055</v>
          </cell>
          <cell r="T157" t="str">
            <v xml:space="preserve"> Shipping - Sales Dept.</v>
          </cell>
          <cell r="U157">
            <v>7690.76</v>
          </cell>
        </row>
        <row r="158">
          <cell r="A158">
            <v>60040</v>
          </cell>
          <cell r="B158" t="str">
            <v xml:space="preserve"> Promotional Items</v>
          </cell>
          <cell r="S158">
            <v>61057</v>
          </cell>
          <cell r="T158" t="str">
            <v xml:space="preserve"> Sales - Office Supplies</v>
          </cell>
          <cell r="U158">
            <v>118.68</v>
          </cell>
        </row>
        <row r="159">
          <cell r="A159">
            <v>60045</v>
          </cell>
          <cell r="B159" t="str">
            <v xml:space="preserve"> Shipping</v>
          </cell>
          <cell r="S159">
            <v>62010</v>
          </cell>
          <cell r="T159" t="str">
            <v xml:space="preserve"> Sales Travel - Hotel</v>
          </cell>
          <cell r="U159">
            <v>3454.94</v>
          </cell>
        </row>
        <row r="160">
          <cell r="A160">
            <v>60050</v>
          </cell>
          <cell r="B160" t="str">
            <v xml:space="preserve"> Trade Shows</v>
          </cell>
          <cell r="S160">
            <v>62015</v>
          </cell>
          <cell r="T160" t="str">
            <v xml:space="preserve"> Sales Travel - Transportation</v>
          </cell>
          <cell r="U160">
            <v>5031.66</v>
          </cell>
        </row>
        <row r="161">
          <cell r="A161">
            <v>60051</v>
          </cell>
          <cell r="B161" t="str">
            <v xml:space="preserve"> Trade Show - Transportation</v>
          </cell>
          <cell r="S161">
            <v>62020</v>
          </cell>
          <cell r="T161" t="str">
            <v xml:space="preserve"> Sales Travel - Meals</v>
          </cell>
          <cell r="U161">
            <v>2705.76</v>
          </cell>
        </row>
        <row r="162">
          <cell r="A162">
            <v>60052</v>
          </cell>
          <cell r="B162" t="str">
            <v xml:space="preserve"> Trade Show - Booth Space</v>
          </cell>
          <cell r="S162">
            <v>61272</v>
          </cell>
          <cell r="T162" t="str">
            <v xml:space="preserve"> Nat'l Account Travel - Trans</v>
          </cell>
          <cell r="U162">
            <v>72.88</v>
          </cell>
        </row>
        <row r="163">
          <cell r="A163">
            <v>60053</v>
          </cell>
          <cell r="B163" t="str">
            <v xml:space="preserve"> Trade Show - Material/Setup</v>
          </cell>
          <cell r="S163">
            <v>61350</v>
          </cell>
          <cell r="T163" t="str">
            <v xml:space="preserve"> Legal Fees</v>
          </cell>
          <cell r="U163">
            <v>811.25</v>
          </cell>
        </row>
        <row r="164">
          <cell r="A164">
            <v>60054</v>
          </cell>
          <cell r="B164" t="str">
            <v xml:space="preserve"> Trade Show - Hotel</v>
          </cell>
          <cell r="S164">
            <v>61355</v>
          </cell>
          <cell r="T164" t="str">
            <v xml:space="preserve"> Payroll Processing Expenses</v>
          </cell>
          <cell r="U164">
            <v>445.28</v>
          </cell>
        </row>
        <row r="165">
          <cell r="A165">
            <v>60056</v>
          </cell>
          <cell r="B165" t="str">
            <v xml:space="preserve"> Trade Show - Meals</v>
          </cell>
          <cell r="S165">
            <v>61365</v>
          </cell>
          <cell r="T165" t="str">
            <v xml:space="preserve"> R &amp; D Expense</v>
          </cell>
          <cell r="U165">
            <v>3823.8</v>
          </cell>
        </row>
        <row r="166">
          <cell r="A166">
            <v>60057</v>
          </cell>
          <cell r="B166" t="str">
            <v xml:space="preserve"> Trade Show - Participation Fees</v>
          </cell>
          <cell r="S166">
            <v>61369</v>
          </cell>
          <cell r="T166" t="str">
            <v xml:space="preserve"> R&amp;D Expense - RT14-R</v>
          </cell>
          <cell r="U166">
            <v>350</v>
          </cell>
        </row>
        <row r="167">
          <cell r="A167">
            <v>60058</v>
          </cell>
          <cell r="B167" t="str">
            <v xml:space="preserve"> Tradeshow - Planning</v>
          </cell>
          <cell r="S167">
            <v>61371</v>
          </cell>
          <cell r="T167" t="str">
            <v xml:space="preserve"> R&amp;D Expense - RT6</v>
          </cell>
          <cell r="U167">
            <v>608.78</v>
          </cell>
        </row>
        <row r="168">
          <cell r="A168">
            <v>60060</v>
          </cell>
          <cell r="B168" t="str">
            <v xml:space="preserve"> Website</v>
          </cell>
          <cell r="S168">
            <v>61400</v>
          </cell>
          <cell r="T168" t="str">
            <v xml:space="preserve"> Postage and Delivery</v>
          </cell>
          <cell r="U168">
            <v>134.82</v>
          </cell>
        </row>
        <row r="169">
          <cell r="A169">
            <v>60079</v>
          </cell>
          <cell r="B169" t="str">
            <v xml:space="preserve"> Dealer Appreciation</v>
          </cell>
          <cell r="S169">
            <v>61600</v>
          </cell>
          <cell r="T169" t="str">
            <v xml:space="preserve"> Rent Expense</v>
          </cell>
          <cell r="U169">
            <v>10000</v>
          </cell>
        </row>
        <row r="170">
          <cell r="A170">
            <v>60090</v>
          </cell>
          <cell r="B170" t="str">
            <v xml:space="preserve"> Allocated Expenses from RSI</v>
          </cell>
          <cell r="S170">
            <v>61810</v>
          </cell>
          <cell r="T170" t="str">
            <v xml:space="preserve"> Taxes - Property</v>
          </cell>
          <cell r="U170">
            <v>2542.67</v>
          </cell>
        </row>
        <row r="171">
          <cell r="A171">
            <v>60200</v>
          </cell>
          <cell r="B171" t="str">
            <v xml:space="preserve"> Bank Service Charges</v>
          </cell>
          <cell r="S171">
            <v>61825</v>
          </cell>
          <cell r="T171" t="str">
            <v xml:space="preserve"> Taxes - Sales</v>
          </cell>
          <cell r="U171">
            <v>79.02</v>
          </cell>
        </row>
        <row r="172">
          <cell r="A172">
            <v>60300</v>
          </cell>
          <cell r="B172" t="str">
            <v xml:space="preserve"> Charitable Contributions</v>
          </cell>
          <cell r="S172">
            <v>62000</v>
          </cell>
          <cell r="T172" t="str">
            <v xml:space="preserve"> Travel Transportation</v>
          </cell>
          <cell r="U172">
            <v>4006.69</v>
          </cell>
        </row>
        <row r="173">
          <cell r="A173">
            <v>60400</v>
          </cell>
          <cell r="B173" t="str">
            <v xml:space="preserve"> Dues and Subscriptions</v>
          </cell>
          <cell r="S173">
            <v>62022</v>
          </cell>
          <cell r="T173" t="str">
            <v xml:space="preserve"> Customer Satisfaction Expense</v>
          </cell>
          <cell r="U173">
            <v>1866</v>
          </cell>
        </row>
        <row r="174">
          <cell r="A174">
            <v>60450</v>
          </cell>
          <cell r="B174" t="str">
            <v xml:space="preserve"> Employee Training</v>
          </cell>
          <cell r="S174">
            <v>62025</v>
          </cell>
          <cell r="T174" t="str">
            <v xml:space="preserve"> Travel Hotel</v>
          </cell>
          <cell r="U174">
            <v>-1421.21</v>
          </cell>
        </row>
        <row r="175">
          <cell r="A175">
            <v>60460</v>
          </cell>
          <cell r="B175" t="str">
            <v xml:space="preserve"> Employee Recruiting</v>
          </cell>
          <cell r="S175">
            <v>62099</v>
          </cell>
          <cell r="T175" t="str">
            <v xml:space="preserve"> Travel Meals and Entertainment</v>
          </cell>
          <cell r="U175">
            <v>3098.74</v>
          </cell>
        </row>
        <row r="176">
          <cell r="A176">
            <v>60500</v>
          </cell>
          <cell r="B176" t="str">
            <v xml:space="preserve"> Insurance Expense</v>
          </cell>
          <cell r="S176">
            <v>62100</v>
          </cell>
          <cell r="T176" t="str">
            <v xml:space="preserve"> Meals and Entertainment</v>
          </cell>
          <cell r="U176">
            <v>1054.69</v>
          </cell>
        </row>
        <row r="177">
          <cell r="A177">
            <v>60510</v>
          </cell>
          <cell r="B177" t="str">
            <v xml:space="preserve"> Employee Benefits</v>
          </cell>
          <cell r="S177">
            <v>62200</v>
          </cell>
          <cell r="T177" t="str">
            <v xml:space="preserve"> Uniforms</v>
          </cell>
          <cell r="U177">
            <v>70.98</v>
          </cell>
        </row>
        <row r="178">
          <cell r="A178">
            <v>60515</v>
          </cell>
          <cell r="B178" t="str">
            <v xml:space="preserve"> Employee Benefits-Profit Share</v>
          </cell>
          <cell r="S178">
            <v>80110</v>
          </cell>
          <cell r="T178" t="str">
            <v xml:space="preserve"> Interest Expense-TM Floor Plan</v>
          </cell>
          <cell r="U178">
            <v>10555</v>
          </cell>
        </row>
        <row r="179">
          <cell r="A179">
            <v>60520</v>
          </cell>
          <cell r="B179" t="str">
            <v xml:space="preserve"> Life and Disability Insurance</v>
          </cell>
          <cell r="S179">
            <v>80112</v>
          </cell>
          <cell r="T179" t="str">
            <v xml:space="preserve"> Interest Expense - Dealer FP</v>
          </cell>
          <cell r="U179">
            <v>841.03</v>
          </cell>
        </row>
        <row r="180">
          <cell r="A180">
            <v>60530</v>
          </cell>
          <cell r="B180" t="str">
            <v xml:space="preserve"> Health Insurance</v>
          </cell>
          <cell r="S180">
            <v>80114</v>
          </cell>
          <cell r="T180" t="str">
            <v xml:space="preserve"> Interest Expense - Rentals</v>
          </cell>
          <cell r="U180">
            <v>4078.35</v>
          </cell>
        </row>
        <row r="181">
          <cell r="A181">
            <v>60540</v>
          </cell>
          <cell r="B181" t="str">
            <v xml:space="preserve"> Insurance - Inland Marine</v>
          </cell>
          <cell r="S181">
            <v>80500</v>
          </cell>
          <cell r="T181" t="str">
            <v xml:space="preserve"> Bad Debt Expense</v>
          </cell>
          <cell r="U181">
            <v>7000</v>
          </cell>
        </row>
        <row r="182">
          <cell r="A182">
            <v>60560</v>
          </cell>
          <cell r="B182" t="str">
            <v xml:space="preserve"> General Liability Insurance</v>
          </cell>
          <cell r="S182">
            <v>80700</v>
          </cell>
          <cell r="T182" t="str">
            <v xml:space="preserve"> Depreciation Expense</v>
          </cell>
          <cell r="U182">
            <v>35289.86</v>
          </cell>
        </row>
        <row r="183">
          <cell r="A183">
            <v>60700</v>
          </cell>
          <cell r="B183" t="str">
            <v xml:space="preserve"> Business Licenses and Permits</v>
          </cell>
        </row>
        <row r="184">
          <cell r="A184">
            <v>60800</v>
          </cell>
          <cell r="B184" t="str">
            <v xml:space="preserve"> Miscellaneous Expense</v>
          </cell>
        </row>
        <row r="185">
          <cell r="A185">
            <v>60900</v>
          </cell>
          <cell r="B185" t="str">
            <v xml:space="preserve"> Office Supplies</v>
          </cell>
        </row>
        <row r="186">
          <cell r="A186">
            <v>60950</v>
          </cell>
          <cell r="B186" t="str">
            <v xml:space="preserve"> Office Functions</v>
          </cell>
        </row>
        <row r="187">
          <cell r="A187">
            <v>61000</v>
          </cell>
          <cell r="B187" t="str">
            <v xml:space="preserve"> Salaries and Wages - Office</v>
          </cell>
        </row>
        <row r="188">
          <cell r="A188">
            <v>61010</v>
          </cell>
          <cell r="B188" t="str">
            <v xml:space="preserve"> Salaries - Office</v>
          </cell>
        </row>
        <row r="189">
          <cell r="A189">
            <v>61012</v>
          </cell>
          <cell r="B189" t="str">
            <v xml:space="preserve"> Employee Benefits</v>
          </cell>
        </row>
        <row r="190">
          <cell r="A190">
            <v>61020</v>
          </cell>
          <cell r="B190" t="str">
            <v xml:space="preserve"> Salaries - Sales</v>
          </cell>
        </row>
        <row r="191">
          <cell r="A191">
            <v>61021</v>
          </cell>
          <cell r="B191" t="str">
            <v xml:space="preserve"> Employee Beneifts - Sales</v>
          </cell>
        </row>
        <row r="192">
          <cell r="A192">
            <v>61022</v>
          </cell>
          <cell r="B192" t="str">
            <v xml:space="preserve"> Payroll Taxes - Sales</v>
          </cell>
        </row>
        <row r="193">
          <cell r="A193">
            <v>61023</v>
          </cell>
          <cell r="B193" t="str">
            <v xml:space="preserve"> Allowance</v>
          </cell>
        </row>
        <row r="194">
          <cell r="A194">
            <v>61040</v>
          </cell>
          <cell r="B194" t="str">
            <v xml:space="preserve"> Salaries - Officer</v>
          </cell>
        </row>
        <row r="195">
          <cell r="A195">
            <v>61050</v>
          </cell>
          <cell r="B195" t="str">
            <v xml:space="preserve"> Commissions</v>
          </cell>
        </row>
        <row r="196">
          <cell r="A196">
            <v>61053</v>
          </cell>
          <cell r="B196" t="str">
            <v xml:space="preserve"> Meeting/Conference Room Space</v>
          </cell>
        </row>
        <row r="197">
          <cell r="A197">
            <v>61054</v>
          </cell>
          <cell r="B197" t="str">
            <v xml:space="preserve"> Customer Concessions</v>
          </cell>
        </row>
        <row r="198">
          <cell r="A198">
            <v>61055</v>
          </cell>
          <cell r="B198" t="str">
            <v xml:space="preserve"> Shipping - Sales Dept.</v>
          </cell>
        </row>
        <row r="199">
          <cell r="A199">
            <v>61056</v>
          </cell>
          <cell r="B199" t="str">
            <v xml:space="preserve"> Shipping Consessions/Errors</v>
          </cell>
        </row>
        <row r="200">
          <cell r="A200">
            <v>61057</v>
          </cell>
          <cell r="B200" t="str">
            <v xml:space="preserve"> Sales - Office Supplies</v>
          </cell>
        </row>
        <row r="201">
          <cell r="A201">
            <v>61060</v>
          </cell>
          <cell r="B201" t="str">
            <v xml:space="preserve"> Salaries - Marketing</v>
          </cell>
        </row>
        <row r="202">
          <cell r="A202">
            <v>61062</v>
          </cell>
          <cell r="B202" t="str">
            <v xml:space="preserve"> Employee Benefits - Marketig</v>
          </cell>
        </row>
        <row r="203">
          <cell r="A203">
            <v>61100</v>
          </cell>
          <cell r="B203" t="str">
            <v xml:space="preserve"> Payroll Taxes - Office</v>
          </cell>
        </row>
        <row r="204">
          <cell r="A204">
            <v>61120</v>
          </cell>
          <cell r="B204" t="str">
            <v xml:space="preserve"> P/R Taxes - Marketing</v>
          </cell>
        </row>
        <row r="205">
          <cell r="A205">
            <v>61270</v>
          </cell>
          <cell r="B205" t="str">
            <v xml:space="preserve"> Nat'l Account Travel - Hotel</v>
          </cell>
        </row>
        <row r="206">
          <cell r="A206">
            <v>61272</v>
          </cell>
          <cell r="B206" t="str">
            <v xml:space="preserve"> Nat'l Account Travel - Trans</v>
          </cell>
        </row>
        <row r="207">
          <cell r="A207">
            <v>61274</v>
          </cell>
          <cell r="B207" t="str">
            <v xml:space="preserve"> Nat'l Account Travel - Meals</v>
          </cell>
        </row>
        <row r="208">
          <cell r="A208">
            <v>61310</v>
          </cell>
          <cell r="B208" t="str">
            <v xml:space="preserve"> Accounting Services</v>
          </cell>
        </row>
        <row r="209">
          <cell r="A209">
            <v>61315</v>
          </cell>
          <cell r="B209" t="str">
            <v xml:space="preserve"> Consulting</v>
          </cell>
        </row>
        <row r="210">
          <cell r="A210">
            <v>61350</v>
          </cell>
          <cell r="B210" t="str">
            <v xml:space="preserve"> Legal Fees</v>
          </cell>
        </row>
        <row r="211">
          <cell r="A211">
            <v>61355</v>
          </cell>
          <cell r="B211" t="str">
            <v xml:space="preserve"> Payroll Processing Expenses</v>
          </cell>
        </row>
        <row r="212">
          <cell r="A212">
            <v>61365</v>
          </cell>
          <cell r="B212" t="str">
            <v xml:space="preserve"> R &amp; D Expense</v>
          </cell>
        </row>
        <row r="213">
          <cell r="A213">
            <v>61367</v>
          </cell>
          <cell r="B213" t="str">
            <v xml:space="preserve"> R&amp;D Expense - RT14</v>
          </cell>
        </row>
        <row r="214">
          <cell r="A214">
            <v>61369</v>
          </cell>
          <cell r="B214" t="str">
            <v xml:space="preserve"> R&amp;D Expense - RT14-R</v>
          </cell>
        </row>
        <row r="215">
          <cell r="A215">
            <v>61370</v>
          </cell>
          <cell r="B215" t="str">
            <v xml:space="preserve"> COGS - Outside Services</v>
          </cell>
        </row>
        <row r="216">
          <cell r="A216">
            <v>61371</v>
          </cell>
          <cell r="B216" t="str">
            <v xml:space="preserve"> R&amp;D Expense - RT6</v>
          </cell>
        </row>
        <row r="217">
          <cell r="A217">
            <v>61400</v>
          </cell>
          <cell r="B217" t="str">
            <v xml:space="preserve"> Postage and Delivery</v>
          </cell>
        </row>
        <row r="218">
          <cell r="A218">
            <v>61600</v>
          </cell>
          <cell r="B218" t="str">
            <v xml:space="preserve"> Rent Expense</v>
          </cell>
        </row>
        <row r="219">
          <cell r="A219">
            <v>61810</v>
          </cell>
          <cell r="B219" t="str">
            <v xml:space="preserve"> Taxes - Property</v>
          </cell>
        </row>
        <row r="220">
          <cell r="A220">
            <v>61825</v>
          </cell>
          <cell r="B220" t="str">
            <v xml:space="preserve"> Taxes - Sales</v>
          </cell>
        </row>
        <row r="221">
          <cell r="A221">
            <v>61900</v>
          </cell>
          <cell r="B221" t="str">
            <v xml:space="preserve"> Telephone Expense</v>
          </cell>
        </row>
        <row r="222">
          <cell r="A222">
            <v>62000</v>
          </cell>
          <cell r="B222" t="str">
            <v xml:space="preserve"> Travel Transportation</v>
          </cell>
        </row>
        <row r="223">
          <cell r="A223">
            <v>62010</v>
          </cell>
          <cell r="B223" t="str">
            <v xml:space="preserve"> Sales Travel - Hotel</v>
          </cell>
        </row>
        <row r="224">
          <cell r="A224">
            <v>62015</v>
          </cell>
          <cell r="B224" t="str">
            <v xml:space="preserve"> Sales Travel - Transportation</v>
          </cell>
        </row>
        <row r="225">
          <cell r="A225">
            <v>62020</v>
          </cell>
          <cell r="B225" t="str">
            <v xml:space="preserve"> Sales Travel - Meals</v>
          </cell>
        </row>
        <row r="226">
          <cell r="A226">
            <v>62022</v>
          </cell>
          <cell r="B226" t="str">
            <v xml:space="preserve"> Customer Satisfaction Expense</v>
          </cell>
        </row>
        <row r="227">
          <cell r="A227">
            <v>62025</v>
          </cell>
          <cell r="B227" t="str">
            <v xml:space="preserve"> Travel Hotel</v>
          </cell>
        </row>
        <row r="228">
          <cell r="A228">
            <v>62030</v>
          </cell>
          <cell r="B228" t="str">
            <v xml:space="preserve"> Marketing - Hotel</v>
          </cell>
        </row>
        <row r="229">
          <cell r="A229">
            <v>62035</v>
          </cell>
          <cell r="B229" t="str">
            <v xml:space="preserve"> Marketing - Transportation</v>
          </cell>
        </row>
        <row r="230">
          <cell r="A230">
            <v>62040</v>
          </cell>
          <cell r="B230" t="str">
            <v xml:space="preserve"> Marketing - Meals</v>
          </cell>
        </row>
        <row r="231">
          <cell r="A231">
            <v>62099</v>
          </cell>
          <cell r="B231" t="str">
            <v xml:space="preserve"> Travel Meals and Entertainment</v>
          </cell>
        </row>
        <row r="232">
          <cell r="A232">
            <v>62100</v>
          </cell>
          <cell r="B232" t="str">
            <v xml:space="preserve"> Meals and Entertainment</v>
          </cell>
        </row>
        <row r="233">
          <cell r="A233">
            <v>62200</v>
          </cell>
          <cell r="B233" t="str">
            <v xml:space="preserve"> Uniforms</v>
          </cell>
        </row>
        <row r="234">
          <cell r="A234">
            <v>62310</v>
          </cell>
          <cell r="B234" t="str">
            <v xml:space="preserve"> Utilities</v>
          </cell>
        </row>
        <row r="235">
          <cell r="A235">
            <v>62320</v>
          </cell>
          <cell r="B235" t="str">
            <v xml:space="preserve"> Computer and Internet Expenses</v>
          </cell>
        </row>
        <row r="236">
          <cell r="A236">
            <v>63000</v>
          </cell>
          <cell r="B236" t="str">
            <v xml:space="preserve"> Fines and Penalties</v>
          </cell>
        </row>
        <row r="237">
          <cell r="A237">
            <v>80000</v>
          </cell>
          <cell r="B237" t="str">
            <v xml:space="preserve"> Interest Income</v>
          </cell>
        </row>
        <row r="238">
          <cell r="A238">
            <v>80110</v>
          </cell>
          <cell r="B238" t="str">
            <v xml:space="preserve"> Interest Expense</v>
          </cell>
        </row>
        <row r="239">
          <cell r="A239">
            <v>80112</v>
          </cell>
          <cell r="B239" t="str">
            <v xml:space="preserve"> Interest Expense - Dealer FP</v>
          </cell>
        </row>
        <row r="240">
          <cell r="A240">
            <v>80114</v>
          </cell>
          <cell r="B240" t="str">
            <v xml:space="preserve"> Interest Expense</v>
          </cell>
        </row>
        <row r="241">
          <cell r="A241">
            <v>80500</v>
          </cell>
          <cell r="B241" t="str">
            <v xml:space="preserve"> Bad Debt Expense</v>
          </cell>
        </row>
        <row r="242">
          <cell r="A242">
            <v>80700</v>
          </cell>
          <cell r="B242" t="str">
            <v xml:space="preserve"> Depreciation Expense</v>
          </cell>
        </row>
        <row r="243">
          <cell r="A243">
            <v>80800</v>
          </cell>
          <cell r="B243" t="str">
            <v xml:space="preserve"> US Service Payment</v>
          </cell>
        </row>
        <row r="244">
          <cell r="A244">
            <v>80900</v>
          </cell>
          <cell r="B244" t="str">
            <v xml:space="preserve"> Taxes - State Replacement Tax</v>
          </cell>
        </row>
        <row r="245">
          <cell r="A245">
            <v>90000</v>
          </cell>
          <cell r="B245" t="str">
            <v xml:space="preserve"> Transaction Gain/Loss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B3584-CB3D-491C-83AF-C001A331A50E}">
  <dimension ref="A1:F108"/>
  <sheetViews>
    <sheetView topLeftCell="A42" workbookViewId="0">
      <selection activeCell="I56" sqref="I56"/>
    </sheetView>
  </sheetViews>
  <sheetFormatPr defaultColWidth="12.85546875" defaultRowHeight="15.75"/>
  <cols>
    <col min="1" max="1" width="14.7109375" style="168" customWidth="1"/>
    <col min="2" max="2" width="58.7109375" style="168" customWidth="1"/>
    <col min="3" max="3" width="26.5703125" style="168" customWidth="1"/>
    <col min="4" max="4" width="18" style="169" customWidth="1"/>
    <col min="5" max="5" width="25.85546875" style="169" bestFit="1" customWidth="1"/>
    <col min="6" max="6" width="14.5703125" style="169" bestFit="1" customWidth="1"/>
    <col min="7" max="16384" width="12.85546875" style="169"/>
  </cols>
  <sheetData>
    <row r="1" spans="1:5" ht="24.75" thickBot="1">
      <c r="A1" s="212" t="s">
        <v>154</v>
      </c>
      <c r="B1" s="213"/>
      <c r="C1" s="213"/>
      <c r="D1" s="213"/>
      <c r="E1" s="214"/>
    </row>
    <row r="2" spans="1:5" ht="15.75" customHeight="1">
      <c r="E2" s="176"/>
    </row>
    <row r="3" spans="1:5" ht="18" customHeight="1">
      <c r="A3" s="170" t="s">
        <v>155</v>
      </c>
      <c r="B3" s="170" t="s">
        <v>67</v>
      </c>
      <c r="C3" s="170" t="s">
        <v>156</v>
      </c>
      <c r="D3" s="211" t="s">
        <v>258</v>
      </c>
      <c r="E3" s="211"/>
    </row>
    <row r="4" spans="1:5">
      <c r="A4" s="171" t="s">
        <v>157</v>
      </c>
      <c r="B4" s="168" t="s">
        <v>158</v>
      </c>
      <c r="C4" s="168" t="s">
        <v>159</v>
      </c>
      <c r="D4" s="169" t="s">
        <v>255</v>
      </c>
      <c r="E4" s="169" t="s">
        <v>169</v>
      </c>
    </row>
    <row r="5" spans="1:5">
      <c r="A5" s="171">
        <v>1010</v>
      </c>
      <c r="B5" s="168" t="s">
        <v>160</v>
      </c>
      <c r="C5" s="168" t="s">
        <v>161</v>
      </c>
      <c r="D5" s="169" t="s">
        <v>255</v>
      </c>
      <c r="E5" s="169" t="s">
        <v>169</v>
      </c>
    </row>
    <row r="6" spans="1:5">
      <c r="A6" s="171">
        <v>1200</v>
      </c>
      <c r="B6" s="168" t="s">
        <v>162</v>
      </c>
      <c r="C6" s="168" t="s">
        <v>163</v>
      </c>
      <c r="D6" s="169" t="s">
        <v>255</v>
      </c>
      <c r="E6" s="169" t="s">
        <v>169</v>
      </c>
    </row>
    <row r="7" spans="1:5">
      <c r="A7" s="171">
        <v>1210</v>
      </c>
      <c r="B7" s="168" t="s">
        <v>164</v>
      </c>
      <c r="C7" s="168" t="s">
        <v>163</v>
      </c>
      <c r="D7" s="169" t="s">
        <v>255</v>
      </c>
      <c r="E7" s="169" t="s">
        <v>169</v>
      </c>
    </row>
    <row r="8" spans="1:5">
      <c r="A8" s="171">
        <v>1300</v>
      </c>
      <c r="B8" s="168" t="s">
        <v>165</v>
      </c>
      <c r="C8" s="168" t="s">
        <v>166</v>
      </c>
      <c r="D8" s="169" t="s">
        <v>255</v>
      </c>
      <c r="E8" s="169" t="s">
        <v>169</v>
      </c>
    </row>
    <row r="9" spans="1:5">
      <c r="A9" s="171">
        <v>1310</v>
      </c>
      <c r="B9" s="168" t="s">
        <v>167</v>
      </c>
      <c r="C9" s="168" t="s">
        <v>166</v>
      </c>
      <c r="D9" s="169" t="s">
        <v>255</v>
      </c>
      <c r="E9" s="169" t="s">
        <v>169</v>
      </c>
    </row>
    <row r="10" spans="1:5">
      <c r="A10" s="171">
        <v>1400</v>
      </c>
      <c r="B10" s="168" t="s">
        <v>168</v>
      </c>
      <c r="C10" s="168" t="s">
        <v>169</v>
      </c>
      <c r="D10" s="169" t="s">
        <v>255</v>
      </c>
      <c r="E10" s="169" t="s">
        <v>169</v>
      </c>
    </row>
    <row r="11" spans="1:5">
      <c r="A11" s="171">
        <v>1410</v>
      </c>
      <c r="B11" s="168" t="s">
        <v>170</v>
      </c>
      <c r="C11" s="168" t="s">
        <v>169</v>
      </c>
      <c r="D11" s="169" t="s">
        <v>255</v>
      </c>
      <c r="E11" s="169" t="s">
        <v>169</v>
      </c>
    </row>
    <row r="12" spans="1:5">
      <c r="A12" s="171">
        <v>1490</v>
      </c>
      <c r="B12" s="168" t="s">
        <v>305</v>
      </c>
      <c r="C12" s="168" t="s">
        <v>169</v>
      </c>
      <c r="D12" s="169" t="s">
        <v>255</v>
      </c>
      <c r="E12" s="169" t="s">
        <v>169</v>
      </c>
    </row>
    <row r="13" spans="1:5">
      <c r="A13" s="171">
        <v>1500</v>
      </c>
      <c r="B13" s="168" t="s">
        <v>171</v>
      </c>
      <c r="C13" s="168" t="s">
        <v>172</v>
      </c>
      <c r="D13" s="169" t="s">
        <v>255</v>
      </c>
      <c r="E13" s="169" t="s">
        <v>172</v>
      </c>
    </row>
    <row r="14" spans="1:5">
      <c r="A14" s="171">
        <v>1510</v>
      </c>
      <c r="B14" s="168" t="s">
        <v>173</v>
      </c>
      <c r="C14" s="168" t="s">
        <v>172</v>
      </c>
      <c r="D14" s="169" t="s">
        <v>255</v>
      </c>
      <c r="E14" s="169" t="s">
        <v>172</v>
      </c>
    </row>
    <row r="15" spans="1:5">
      <c r="A15" s="171">
        <v>1520</v>
      </c>
      <c r="B15" s="168" t="s">
        <v>174</v>
      </c>
      <c r="C15" s="168" t="s">
        <v>172</v>
      </c>
      <c r="D15" s="169" t="s">
        <v>255</v>
      </c>
      <c r="E15" s="169" t="s">
        <v>172</v>
      </c>
    </row>
    <row r="16" spans="1:5">
      <c r="A16" s="171">
        <v>1530</v>
      </c>
      <c r="B16" s="168" t="s">
        <v>175</v>
      </c>
      <c r="C16" s="168" t="s">
        <v>172</v>
      </c>
      <c r="D16" s="169" t="s">
        <v>255</v>
      </c>
      <c r="E16" s="169" t="s">
        <v>172</v>
      </c>
    </row>
    <row r="17" spans="1:5">
      <c r="A17" s="171">
        <v>1540</v>
      </c>
      <c r="B17" s="168" t="s">
        <v>176</v>
      </c>
      <c r="C17" s="168" t="s">
        <v>172</v>
      </c>
      <c r="D17" s="169" t="s">
        <v>255</v>
      </c>
      <c r="E17" s="169" t="s">
        <v>172</v>
      </c>
    </row>
    <row r="18" spans="1:5">
      <c r="A18" s="171">
        <v>1550</v>
      </c>
      <c r="B18" s="168" t="s">
        <v>267</v>
      </c>
      <c r="C18" s="168" t="s">
        <v>172</v>
      </c>
      <c r="D18" s="169" t="s">
        <v>255</v>
      </c>
      <c r="E18" s="169" t="s">
        <v>172</v>
      </c>
    </row>
    <row r="19" spans="1:5">
      <c r="A19" s="171">
        <v>1590</v>
      </c>
      <c r="B19" s="168" t="s">
        <v>177</v>
      </c>
      <c r="C19" s="168" t="s">
        <v>172</v>
      </c>
      <c r="D19" s="169" t="s">
        <v>255</v>
      </c>
      <c r="E19" s="169" t="s">
        <v>172</v>
      </c>
    </row>
    <row r="20" spans="1:5">
      <c r="A20" s="171">
        <v>1595</v>
      </c>
      <c r="B20" s="168" t="s">
        <v>268</v>
      </c>
      <c r="C20" s="168" t="s">
        <v>172</v>
      </c>
      <c r="D20" s="169" t="s">
        <v>255</v>
      </c>
      <c r="E20" s="169" t="s">
        <v>172</v>
      </c>
    </row>
    <row r="21" spans="1:5">
      <c r="A21" s="171">
        <v>1600</v>
      </c>
      <c r="B21" s="168" t="s">
        <v>178</v>
      </c>
      <c r="C21" s="168" t="s">
        <v>179</v>
      </c>
      <c r="D21" s="169" t="s">
        <v>255</v>
      </c>
      <c r="E21" s="169" t="s">
        <v>179</v>
      </c>
    </row>
    <row r="22" spans="1:5">
      <c r="A22" s="171" t="s">
        <v>180</v>
      </c>
      <c r="B22" s="168" t="s">
        <v>181</v>
      </c>
      <c r="C22" s="168" t="s">
        <v>179</v>
      </c>
      <c r="D22" s="169" t="s">
        <v>255</v>
      </c>
      <c r="E22" s="169" t="s">
        <v>179</v>
      </c>
    </row>
    <row r="23" spans="1:5">
      <c r="A23" s="171" t="s">
        <v>182</v>
      </c>
      <c r="B23" s="168" t="s">
        <v>183</v>
      </c>
      <c r="C23" s="168" t="s">
        <v>179</v>
      </c>
      <c r="D23" s="169" t="s">
        <v>255</v>
      </c>
      <c r="E23" s="169" t="s">
        <v>179</v>
      </c>
    </row>
    <row r="24" spans="1:5">
      <c r="A24" s="171" t="s">
        <v>184</v>
      </c>
      <c r="B24" s="168" t="s">
        <v>185</v>
      </c>
      <c r="C24" s="168" t="s">
        <v>186</v>
      </c>
      <c r="D24" s="169" t="s">
        <v>255</v>
      </c>
      <c r="E24" s="169" t="s">
        <v>256</v>
      </c>
    </row>
    <row r="25" spans="1:5">
      <c r="A25" s="171" t="s">
        <v>187</v>
      </c>
      <c r="B25" s="168" t="s">
        <v>188</v>
      </c>
      <c r="C25" s="168" t="s">
        <v>189</v>
      </c>
      <c r="D25" s="169" t="s">
        <v>255</v>
      </c>
      <c r="E25" s="169" t="s">
        <v>256</v>
      </c>
    </row>
    <row r="26" spans="1:5">
      <c r="A26" s="171">
        <v>2110</v>
      </c>
      <c r="B26" s="168" t="s">
        <v>190</v>
      </c>
      <c r="C26" s="168" t="s">
        <v>189</v>
      </c>
      <c r="D26" s="169" t="s">
        <v>255</v>
      </c>
      <c r="E26" s="169" t="s">
        <v>256</v>
      </c>
    </row>
    <row r="27" spans="1:5">
      <c r="A27" s="171">
        <v>2120</v>
      </c>
      <c r="B27" s="168" t="s">
        <v>191</v>
      </c>
      <c r="C27" s="168" t="s">
        <v>189</v>
      </c>
      <c r="D27" s="169" t="s">
        <v>255</v>
      </c>
      <c r="E27" s="169" t="s">
        <v>256</v>
      </c>
    </row>
    <row r="28" spans="1:5">
      <c r="A28" s="171">
        <v>2130</v>
      </c>
      <c r="B28" s="168" t="s">
        <v>192</v>
      </c>
      <c r="C28" s="168" t="s">
        <v>189</v>
      </c>
      <c r="D28" s="169" t="s">
        <v>255</v>
      </c>
      <c r="E28" s="169" t="s">
        <v>256</v>
      </c>
    </row>
    <row r="29" spans="1:5">
      <c r="A29" s="171">
        <v>2200</v>
      </c>
      <c r="B29" s="168" t="s">
        <v>193</v>
      </c>
      <c r="C29" s="168" t="s">
        <v>189</v>
      </c>
      <c r="D29" s="169" t="s">
        <v>255</v>
      </c>
      <c r="E29" s="169" t="s">
        <v>256</v>
      </c>
    </row>
    <row r="30" spans="1:5">
      <c r="A30" s="171">
        <v>2300</v>
      </c>
      <c r="B30" s="168" t="s">
        <v>194</v>
      </c>
      <c r="C30" s="168" t="s">
        <v>189</v>
      </c>
      <c r="D30" s="169" t="s">
        <v>255</v>
      </c>
      <c r="E30" s="169" t="s">
        <v>256</v>
      </c>
    </row>
    <row r="31" spans="1:5">
      <c r="A31" s="171">
        <v>2350</v>
      </c>
      <c r="B31" s="168" t="s">
        <v>195</v>
      </c>
      <c r="C31" s="168" t="s">
        <v>189</v>
      </c>
      <c r="D31" s="169" t="s">
        <v>255</v>
      </c>
      <c r="E31" s="169" t="s">
        <v>256</v>
      </c>
    </row>
    <row r="32" spans="1:5">
      <c r="A32" s="171">
        <v>2360</v>
      </c>
      <c r="B32" s="168" t="s">
        <v>196</v>
      </c>
      <c r="C32" s="168" t="s">
        <v>189</v>
      </c>
      <c r="D32" s="169" t="s">
        <v>255</v>
      </c>
      <c r="E32" s="169" t="s">
        <v>256</v>
      </c>
    </row>
    <row r="33" spans="1:6">
      <c r="A33" s="171">
        <v>2500</v>
      </c>
      <c r="B33" s="168" t="s">
        <v>197</v>
      </c>
      <c r="C33" s="168" t="s">
        <v>189</v>
      </c>
      <c r="D33" s="169" t="s">
        <v>255</v>
      </c>
      <c r="E33" s="169" t="s">
        <v>257</v>
      </c>
    </row>
    <row r="34" spans="1:6">
      <c r="A34" s="171" t="s">
        <v>198</v>
      </c>
      <c r="B34" s="168" t="s">
        <v>199</v>
      </c>
      <c r="C34" s="168" t="s">
        <v>200</v>
      </c>
      <c r="D34" s="169" t="s">
        <v>255</v>
      </c>
      <c r="E34" s="169" t="s">
        <v>257</v>
      </c>
    </row>
    <row r="35" spans="1:6">
      <c r="A35" s="171">
        <v>2710</v>
      </c>
      <c r="B35" s="168" t="s">
        <v>201</v>
      </c>
      <c r="C35" s="168" t="s">
        <v>200</v>
      </c>
      <c r="D35" s="169" t="s">
        <v>255</v>
      </c>
      <c r="E35" s="169" t="s">
        <v>257</v>
      </c>
    </row>
    <row r="36" spans="1:6">
      <c r="A36" s="171">
        <v>3000</v>
      </c>
      <c r="B36" s="168" t="s">
        <v>202</v>
      </c>
      <c r="C36" s="168" t="s">
        <v>203</v>
      </c>
      <c r="D36" s="169" t="s">
        <v>255</v>
      </c>
      <c r="E36" s="169" t="s">
        <v>203</v>
      </c>
    </row>
    <row r="37" spans="1:6">
      <c r="A37" s="171">
        <v>3100</v>
      </c>
      <c r="B37" s="168" t="s">
        <v>204</v>
      </c>
      <c r="C37" s="168" t="s">
        <v>203</v>
      </c>
      <c r="D37" s="169" t="s">
        <v>255</v>
      </c>
      <c r="E37" s="169" t="s">
        <v>203</v>
      </c>
    </row>
    <row r="38" spans="1:6">
      <c r="A38" s="171">
        <v>3200</v>
      </c>
      <c r="B38" s="168" t="s">
        <v>205</v>
      </c>
      <c r="C38" s="168" t="s">
        <v>203</v>
      </c>
      <c r="D38" s="169" t="s">
        <v>255</v>
      </c>
      <c r="E38" s="169" t="s">
        <v>203</v>
      </c>
    </row>
    <row r="39" spans="1:6" ht="16.5" thickBot="1">
      <c r="A39" s="173">
        <v>3500</v>
      </c>
      <c r="B39" s="174" t="s">
        <v>206</v>
      </c>
      <c r="C39" s="174" t="s">
        <v>203</v>
      </c>
      <c r="D39" s="175" t="s">
        <v>255</v>
      </c>
      <c r="E39" s="175" t="s">
        <v>203</v>
      </c>
      <c r="F39" s="175"/>
    </row>
    <row r="40" spans="1:6">
      <c r="A40" s="171" t="s">
        <v>207</v>
      </c>
      <c r="B40" s="168" t="s">
        <v>208</v>
      </c>
      <c r="C40" s="168" t="s">
        <v>209</v>
      </c>
      <c r="D40" s="169" t="s">
        <v>259</v>
      </c>
      <c r="E40" s="169" t="s">
        <v>260</v>
      </c>
      <c r="F40" s="169" t="s">
        <v>327</v>
      </c>
    </row>
    <row r="41" spans="1:6">
      <c r="A41" s="171">
        <v>4010</v>
      </c>
      <c r="B41" s="168" t="s">
        <v>210</v>
      </c>
      <c r="C41" s="168" t="s">
        <v>209</v>
      </c>
      <c r="D41" s="169" t="s">
        <v>259</v>
      </c>
      <c r="E41" s="169" t="s">
        <v>260</v>
      </c>
    </row>
    <row r="42" spans="1:6">
      <c r="A42" s="171">
        <v>4020</v>
      </c>
      <c r="B42" s="168" t="s">
        <v>211</v>
      </c>
      <c r="C42" s="168" t="s">
        <v>209</v>
      </c>
      <c r="D42" s="169" t="s">
        <v>259</v>
      </c>
      <c r="E42" s="169" t="s">
        <v>260</v>
      </c>
    </row>
    <row r="43" spans="1:6">
      <c r="A43" s="171">
        <v>4200</v>
      </c>
      <c r="B43" s="168" t="s">
        <v>214</v>
      </c>
      <c r="C43" s="168" t="s">
        <v>209</v>
      </c>
      <c r="D43" s="169" t="s">
        <v>259</v>
      </c>
      <c r="E43" s="169" t="s">
        <v>260</v>
      </c>
    </row>
    <row r="44" spans="1:6">
      <c r="A44" s="171" t="s">
        <v>215</v>
      </c>
      <c r="B44" s="168" t="s">
        <v>59</v>
      </c>
      <c r="C44" s="168" t="s">
        <v>262</v>
      </c>
      <c r="D44" s="169" t="s">
        <v>259</v>
      </c>
      <c r="E44" s="169" t="s">
        <v>216</v>
      </c>
    </row>
    <row r="45" spans="1:6" ht="17.25" customHeight="1">
      <c r="A45" s="171">
        <v>5010</v>
      </c>
      <c r="B45" s="168" t="s">
        <v>61</v>
      </c>
      <c r="C45" s="168" t="s">
        <v>262</v>
      </c>
      <c r="D45" s="169" t="s">
        <v>259</v>
      </c>
      <c r="E45" s="169" t="s">
        <v>216</v>
      </c>
    </row>
    <row r="46" spans="1:6" ht="17.25" customHeight="1">
      <c r="A46" s="171">
        <v>5020</v>
      </c>
      <c r="B46" s="168" t="s">
        <v>62</v>
      </c>
      <c r="C46" s="168" t="s">
        <v>262</v>
      </c>
      <c r="D46" s="169" t="s">
        <v>259</v>
      </c>
      <c r="E46" s="169" t="s">
        <v>216</v>
      </c>
    </row>
    <row r="47" spans="1:6" ht="17.25" customHeight="1">
      <c r="A47" s="171">
        <v>5100</v>
      </c>
      <c r="B47" s="168" t="s">
        <v>98</v>
      </c>
      <c r="C47" s="168" t="s">
        <v>262</v>
      </c>
      <c r="D47" s="169" t="s">
        <v>259</v>
      </c>
      <c r="E47" s="169" t="s">
        <v>216</v>
      </c>
    </row>
    <row r="48" spans="1:6" ht="17.25" customHeight="1">
      <c r="A48" s="171">
        <v>5102</v>
      </c>
      <c r="B48" s="168" t="s">
        <v>152</v>
      </c>
      <c r="C48" s="168" t="s">
        <v>262</v>
      </c>
      <c r="D48" s="169" t="s">
        <v>259</v>
      </c>
      <c r="E48" s="169" t="s">
        <v>216</v>
      </c>
    </row>
    <row r="49" spans="1:5" ht="17.25" customHeight="1">
      <c r="A49" s="171">
        <v>5105</v>
      </c>
      <c r="B49" s="168" t="s">
        <v>92</v>
      </c>
      <c r="C49" s="168" t="s">
        <v>262</v>
      </c>
      <c r="D49" s="169" t="s">
        <v>259</v>
      </c>
      <c r="E49" s="169" t="s">
        <v>216</v>
      </c>
    </row>
    <row r="50" spans="1:5" ht="17.25" customHeight="1">
      <c r="A50" s="171">
        <v>5110</v>
      </c>
      <c r="B50" s="168" t="s">
        <v>51</v>
      </c>
      <c r="C50" s="168" t="s">
        <v>262</v>
      </c>
      <c r="D50" s="169" t="s">
        <v>259</v>
      </c>
      <c r="E50" s="169" t="s">
        <v>216</v>
      </c>
    </row>
    <row r="51" spans="1:5" ht="17.25" customHeight="1">
      <c r="A51" s="171">
        <v>5115</v>
      </c>
      <c r="B51" s="168" t="s">
        <v>3</v>
      </c>
      <c r="C51" s="168" t="s">
        <v>262</v>
      </c>
      <c r="D51" s="169" t="s">
        <v>259</v>
      </c>
      <c r="E51" s="169" t="s">
        <v>216</v>
      </c>
    </row>
    <row r="52" spans="1:5" ht="17.25" customHeight="1">
      <c r="A52" s="171">
        <v>5120</v>
      </c>
      <c r="B52" s="168" t="s">
        <v>153</v>
      </c>
      <c r="C52" s="168" t="s">
        <v>262</v>
      </c>
      <c r="D52" s="169" t="s">
        <v>259</v>
      </c>
      <c r="E52" s="169" t="s">
        <v>216</v>
      </c>
    </row>
    <row r="53" spans="1:5" ht="17.25" customHeight="1">
      <c r="A53" s="171">
        <v>5125</v>
      </c>
      <c r="B53" s="168" t="s">
        <v>146</v>
      </c>
      <c r="C53" s="168" t="s">
        <v>263</v>
      </c>
      <c r="D53" s="169" t="s">
        <v>259</v>
      </c>
      <c r="E53" s="169" t="s">
        <v>216</v>
      </c>
    </row>
    <row r="54" spans="1:5" ht="17.25" customHeight="1">
      <c r="A54" s="171">
        <v>5130</v>
      </c>
      <c r="B54" s="168" t="s">
        <v>147</v>
      </c>
      <c r="C54" s="168" t="s">
        <v>263</v>
      </c>
      <c r="D54" s="169" t="s">
        <v>259</v>
      </c>
      <c r="E54" s="169" t="s">
        <v>216</v>
      </c>
    </row>
    <row r="55" spans="1:5" ht="17.25" customHeight="1">
      <c r="A55" s="171">
        <v>5135</v>
      </c>
      <c r="B55" s="168" t="s">
        <v>148</v>
      </c>
      <c r="C55" s="168" t="s">
        <v>263</v>
      </c>
      <c r="D55" s="169" t="s">
        <v>259</v>
      </c>
      <c r="E55" s="169" t="s">
        <v>216</v>
      </c>
    </row>
    <row r="56" spans="1:5" ht="17.25" customHeight="1">
      <c r="A56" s="171">
        <v>5140</v>
      </c>
      <c r="B56" s="168" t="s">
        <v>269</v>
      </c>
      <c r="C56" s="168" t="s">
        <v>263</v>
      </c>
      <c r="D56" s="169" t="s">
        <v>259</v>
      </c>
      <c r="E56" s="169" t="s">
        <v>216</v>
      </c>
    </row>
    <row r="57" spans="1:5" ht="17.25" customHeight="1">
      <c r="A57" s="171">
        <v>5150</v>
      </c>
      <c r="B57" s="168" t="s">
        <v>2</v>
      </c>
      <c r="C57" s="168" t="s">
        <v>263</v>
      </c>
      <c r="D57" s="169" t="s">
        <v>259</v>
      </c>
      <c r="E57" s="169" t="s">
        <v>216</v>
      </c>
    </row>
    <row r="58" spans="1:5" ht="17.25" customHeight="1">
      <c r="A58" s="171">
        <v>5155</v>
      </c>
      <c r="B58" s="168" t="s">
        <v>149</v>
      </c>
      <c r="C58" s="168" t="s">
        <v>263</v>
      </c>
      <c r="D58" s="169" t="s">
        <v>259</v>
      </c>
      <c r="E58" s="169" t="s">
        <v>216</v>
      </c>
    </row>
    <row r="59" spans="1:5" ht="17.25" customHeight="1">
      <c r="A59" s="171">
        <v>5160</v>
      </c>
      <c r="B59" s="168" t="s">
        <v>270</v>
      </c>
      <c r="C59" s="168" t="s">
        <v>263</v>
      </c>
      <c r="D59" s="169" t="s">
        <v>259</v>
      </c>
      <c r="E59" s="169" t="s">
        <v>216</v>
      </c>
    </row>
    <row r="60" spans="1:5" ht="17.25" customHeight="1">
      <c r="A60" s="171">
        <v>5165</v>
      </c>
      <c r="B60" s="168" t="s">
        <v>271</v>
      </c>
      <c r="C60" s="168" t="s">
        <v>263</v>
      </c>
      <c r="D60" s="169" t="s">
        <v>259</v>
      </c>
      <c r="E60" s="169" t="s">
        <v>216</v>
      </c>
    </row>
    <row r="61" spans="1:5" ht="17.25" customHeight="1">
      <c r="A61" s="171">
        <v>5170</v>
      </c>
      <c r="B61" s="168" t="s">
        <v>272</v>
      </c>
      <c r="C61" s="168" t="s">
        <v>263</v>
      </c>
      <c r="D61" s="169" t="s">
        <v>259</v>
      </c>
      <c r="E61" s="169" t="s">
        <v>216</v>
      </c>
    </row>
    <row r="62" spans="1:5" ht="17.25" customHeight="1">
      <c r="A62" s="171">
        <v>5172</v>
      </c>
      <c r="B62" s="168" t="s">
        <v>150</v>
      </c>
      <c r="C62" s="168" t="s">
        <v>263</v>
      </c>
      <c r="D62" s="169" t="s">
        <v>259</v>
      </c>
      <c r="E62" s="169" t="s">
        <v>216</v>
      </c>
    </row>
    <row r="63" spans="1:5" ht="17.25" customHeight="1">
      <c r="A63" s="171">
        <v>5175</v>
      </c>
      <c r="B63" s="168" t="s">
        <v>58</v>
      </c>
      <c r="C63" s="168" t="s">
        <v>263</v>
      </c>
      <c r="D63" s="169" t="s">
        <v>259</v>
      </c>
      <c r="E63" s="169" t="s">
        <v>216</v>
      </c>
    </row>
    <row r="64" spans="1:5" ht="17.25" customHeight="1">
      <c r="A64" s="171">
        <v>5180</v>
      </c>
      <c r="B64" s="168" t="s">
        <v>0</v>
      </c>
      <c r="C64" s="168" t="s">
        <v>263</v>
      </c>
      <c r="D64" s="169" t="s">
        <v>259</v>
      </c>
      <c r="E64" s="169" t="s">
        <v>216</v>
      </c>
    </row>
    <row r="65" spans="1:6" ht="17.25" customHeight="1">
      <c r="A65" s="171">
        <v>5182</v>
      </c>
      <c r="B65" s="168" t="s">
        <v>43</v>
      </c>
      <c r="C65" s="168" t="s">
        <v>263</v>
      </c>
      <c r="D65" s="169" t="s">
        <v>259</v>
      </c>
      <c r="E65" s="169" t="s">
        <v>216</v>
      </c>
    </row>
    <row r="66" spans="1:6" ht="17.25" customHeight="1">
      <c r="A66" s="171">
        <v>5185</v>
      </c>
      <c r="B66" s="168" t="s">
        <v>1</v>
      </c>
      <c r="C66" s="168" t="s">
        <v>263</v>
      </c>
      <c r="D66" s="169" t="s">
        <v>259</v>
      </c>
      <c r="E66" s="169" t="s">
        <v>216</v>
      </c>
    </row>
    <row r="67" spans="1:6" ht="17.25" customHeight="1">
      <c r="A67" s="171">
        <v>5190</v>
      </c>
      <c r="B67" s="168" t="s">
        <v>273</v>
      </c>
      <c r="C67" s="168" t="s">
        <v>263</v>
      </c>
      <c r="D67" s="169" t="s">
        <v>259</v>
      </c>
      <c r="E67" s="169" t="s">
        <v>216</v>
      </c>
    </row>
    <row r="68" spans="1:6" ht="17.25" customHeight="1" thickBot="1">
      <c r="A68" s="173">
        <v>5195</v>
      </c>
      <c r="B68" s="174" t="s">
        <v>151</v>
      </c>
      <c r="C68" s="174" t="s">
        <v>263</v>
      </c>
      <c r="D68" s="175" t="s">
        <v>259</v>
      </c>
      <c r="E68" s="175" t="s">
        <v>216</v>
      </c>
      <c r="F68" s="175"/>
    </row>
    <row r="69" spans="1:6" ht="17.25" customHeight="1">
      <c r="A69" s="171">
        <v>6000</v>
      </c>
      <c r="B69" s="168" t="s">
        <v>217</v>
      </c>
      <c r="C69" s="168" t="s">
        <v>264</v>
      </c>
      <c r="D69" s="169" t="s">
        <v>259</v>
      </c>
      <c r="E69" s="168" t="s">
        <v>266</v>
      </c>
      <c r="F69" s="169" t="s">
        <v>328</v>
      </c>
    </row>
    <row r="70" spans="1:6" ht="17.25" customHeight="1">
      <c r="A70" s="171">
        <f>+A69+3</f>
        <v>6003</v>
      </c>
      <c r="B70" s="168" t="s">
        <v>218</v>
      </c>
      <c r="C70" s="168" t="s">
        <v>264</v>
      </c>
      <c r="D70" s="169" t="s">
        <v>259</v>
      </c>
      <c r="E70" s="168" t="s">
        <v>266</v>
      </c>
    </row>
    <row r="71" spans="1:6" ht="17.25" customHeight="1">
      <c r="A71" s="171">
        <f t="shared" ref="A71:A98" si="0">+A70+3</f>
        <v>6006</v>
      </c>
      <c r="B71" s="168" t="s">
        <v>219</v>
      </c>
      <c r="C71" s="168" t="s">
        <v>264</v>
      </c>
      <c r="D71" s="169" t="s">
        <v>259</v>
      </c>
      <c r="E71" s="168" t="s">
        <v>266</v>
      </c>
    </row>
    <row r="72" spans="1:6" ht="17.25" customHeight="1">
      <c r="A72" s="171">
        <f t="shared" si="0"/>
        <v>6009</v>
      </c>
      <c r="B72" s="168" t="s">
        <v>220</v>
      </c>
      <c r="C72" s="168" t="s">
        <v>264</v>
      </c>
      <c r="D72" s="169" t="s">
        <v>259</v>
      </c>
      <c r="E72" s="168" t="s">
        <v>266</v>
      </c>
    </row>
    <row r="73" spans="1:6" ht="17.25" customHeight="1">
      <c r="A73" s="171">
        <f t="shared" si="0"/>
        <v>6012</v>
      </c>
      <c r="B73" s="168" t="s">
        <v>221</v>
      </c>
      <c r="C73" s="168" t="s">
        <v>264</v>
      </c>
      <c r="D73" s="169" t="s">
        <v>259</v>
      </c>
      <c r="E73" s="168" t="s">
        <v>266</v>
      </c>
    </row>
    <row r="74" spans="1:6" ht="17.25" customHeight="1">
      <c r="A74" s="171">
        <f t="shared" si="0"/>
        <v>6015</v>
      </c>
      <c r="B74" s="168" t="s">
        <v>222</v>
      </c>
      <c r="C74" s="168" t="s">
        <v>264</v>
      </c>
      <c r="D74" s="169" t="s">
        <v>259</v>
      </c>
      <c r="E74" s="168" t="s">
        <v>266</v>
      </c>
    </row>
    <row r="75" spans="1:6" ht="17.25" customHeight="1">
      <c r="A75" s="171">
        <f t="shared" si="0"/>
        <v>6018</v>
      </c>
      <c r="B75" s="168" t="s">
        <v>223</v>
      </c>
      <c r="C75" s="168" t="s">
        <v>264</v>
      </c>
      <c r="D75" s="169" t="s">
        <v>259</v>
      </c>
      <c r="E75" s="168" t="s">
        <v>266</v>
      </c>
    </row>
    <row r="76" spans="1:6" ht="17.25" customHeight="1">
      <c r="A76" s="171">
        <f t="shared" si="0"/>
        <v>6021</v>
      </c>
      <c r="B76" s="168" t="s">
        <v>224</v>
      </c>
      <c r="C76" s="168" t="s">
        <v>264</v>
      </c>
      <c r="D76" s="169" t="s">
        <v>259</v>
      </c>
      <c r="E76" s="168" t="s">
        <v>266</v>
      </c>
    </row>
    <row r="77" spans="1:6" ht="17.25" customHeight="1">
      <c r="A77" s="171">
        <f t="shared" si="0"/>
        <v>6024</v>
      </c>
      <c r="B77" s="168" t="s">
        <v>225</v>
      </c>
      <c r="C77" s="168" t="s">
        <v>264</v>
      </c>
      <c r="D77" s="169" t="s">
        <v>259</v>
      </c>
      <c r="E77" s="168" t="s">
        <v>266</v>
      </c>
    </row>
    <row r="78" spans="1:6" ht="17.25" customHeight="1">
      <c r="A78" s="171">
        <f t="shared" si="0"/>
        <v>6027</v>
      </c>
      <c r="B78" s="168" t="s">
        <v>226</v>
      </c>
      <c r="C78" s="168" t="s">
        <v>264</v>
      </c>
      <c r="D78" s="169" t="s">
        <v>259</v>
      </c>
      <c r="E78" s="168" t="s">
        <v>266</v>
      </c>
    </row>
    <row r="79" spans="1:6" ht="17.25" customHeight="1">
      <c r="A79" s="171">
        <f t="shared" si="0"/>
        <v>6030</v>
      </c>
      <c r="B79" s="168" t="s">
        <v>227</v>
      </c>
      <c r="C79" s="168" t="s">
        <v>264</v>
      </c>
      <c r="D79" s="169" t="s">
        <v>259</v>
      </c>
      <c r="E79" s="168" t="s">
        <v>266</v>
      </c>
    </row>
    <row r="80" spans="1:6" ht="17.25" customHeight="1">
      <c r="A80" s="171">
        <f t="shared" si="0"/>
        <v>6033</v>
      </c>
      <c r="B80" s="168" t="s">
        <v>228</v>
      </c>
      <c r="C80" s="168" t="s">
        <v>264</v>
      </c>
      <c r="D80" s="169" t="s">
        <v>259</v>
      </c>
      <c r="E80" s="168" t="s">
        <v>266</v>
      </c>
    </row>
    <row r="81" spans="1:5" ht="17.25" customHeight="1">
      <c r="A81" s="171">
        <f t="shared" si="0"/>
        <v>6036</v>
      </c>
      <c r="B81" s="168" t="s">
        <v>274</v>
      </c>
      <c r="C81" s="168" t="s">
        <v>264</v>
      </c>
      <c r="D81" s="169" t="s">
        <v>259</v>
      </c>
      <c r="E81" s="168" t="s">
        <v>266</v>
      </c>
    </row>
    <row r="82" spans="1:5" ht="17.25" customHeight="1">
      <c r="A82" s="171">
        <f t="shared" si="0"/>
        <v>6039</v>
      </c>
      <c r="B82" s="168" t="s">
        <v>229</v>
      </c>
      <c r="C82" s="168" t="s">
        <v>264</v>
      </c>
      <c r="D82" s="169" t="s">
        <v>259</v>
      </c>
      <c r="E82" s="168" t="s">
        <v>266</v>
      </c>
    </row>
    <row r="83" spans="1:5" ht="17.25" customHeight="1">
      <c r="A83" s="171">
        <f t="shared" si="0"/>
        <v>6042</v>
      </c>
      <c r="B83" s="168" t="s">
        <v>230</v>
      </c>
      <c r="C83" s="168" t="s">
        <v>264</v>
      </c>
      <c r="D83" s="169" t="s">
        <v>259</v>
      </c>
      <c r="E83" s="168" t="s">
        <v>266</v>
      </c>
    </row>
    <row r="84" spans="1:5" ht="17.25" customHeight="1">
      <c r="A84" s="171">
        <f t="shared" si="0"/>
        <v>6045</v>
      </c>
      <c r="B84" s="168" t="s">
        <v>231</v>
      </c>
      <c r="C84" s="168" t="s">
        <v>264</v>
      </c>
      <c r="D84" s="169" t="s">
        <v>259</v>
      </c>
      <c r="E84" s="168" t="s">
        <v>266</v>
      </c>
    </row>
    <row r="85" spans="1:5" ht="17.25" customHeight="1">
      <c r="A85" s="171">
        <f t="shared" si="0"/>
        <v>6048</v>
      </c>
      <c r="B85" s="168" t="s">
        <v>232</v>
      </c>
      <c r="C85" s="168" t="s">
        <v>264</v>
      </c>
      <c r="D85" s="169" t="s">
        <v>259</v>
      </c>
      <c r="E85" s="168" t="s">
        <v>266</v>
      </c>
    </row>
    <row r="86" spans="1:5" ht="17.25" customHeight="1">
      <c r="A86" s="171">
        <f t="shared" si="0"/>
        <v>6051</v>
      </c>
      <c r="B86" s="168" t="s">
        <v>233</v>
      </c>
      <c r="C86" s="168" t="s">
        <v>264</v>
      </c>
      <c r="D86" s="169" t="s">
        <v>259</v>
      </c>
      <c r="E86" s="168" t="s">
        <v>266</v>
      </c>
    </row>
    <row r="87" spans="1:5" ht="17.25" customHeight="1">
      <c r="A87" s="171">
        <f t="shared" si="0"/>
        <v>6054</v>
      </c>
      <c r="B87" s="168" t="s">
        <v>234</v>
      </c>
      <c r="C87" s="168" t="s">
        <v>264</v>
      </c>
      <c r="D87" s="169" t="s">
        <v>259</v>
      </c>
      <c r="E87" s="168" t="s">
        <v>266</v>
      </c>
    </row>
    <row r="88" spans="1:5" ht="17.25" customHeight="1">
      <c r="A88" s="171">
        <f t="shared" si="0"/>
        <v>6057</v>
      </c>
      <c r="B88" s="168" t="s">
        <v>235</v>
      </c>
      <c r="C88" s="168" t="s">
        <v>264</v>
      </c>
      <c r="D88" s="169" t="s">
        <v>259</v>
      </c>
      <c r="E88" s="168" t="s">
        <v>266</v>
      </c>
    </row>
    <row r="89" spans="1:5" ht="17.25" customHeight="1">
      <c r="A89" s="171">
        <f t="shared" si="0"/>
        <v>6060</v>
      </c>
      <c r="B89" s="168" t="s">
        <v>236</v>
      </c>
      <c r="C89" s="168" t="s">
        <v>264</v>
      </c>
      <c r="D89" s="169" t="s">
        <v>259</v>
      </c>
      <c r="E89" s="168" t="s">
        <v>266</v>
      </c>
    </row>
    <row r="90" spans="1:5" ht="17.25" customHeight="1">
      <c r="A90" s="171">
        <f t="shared" si="0"/>
        <v>6063</v>
      </c>
      <c r="B90" s="168" t="s">
        <v>237</v>
      </c>
      <c r="C90" s="168" t="s">
        <v>264</v>
      </c>
      <c r="D90" s="169" t="s">
        <v>259</v>
      </c>
      <c r="E90" s="168" t="s">
        <v>266</v>
      </c>
    </row>
    <row r="91" spans="1:5" ht="17.25" customHeight="1">
      <c r="A91" s="171">
        <f t="shared" si="0"/>
        <v>6066</v>
      </c>
      <c r="B91" s="168" t="s">
        <v>238</v>
      </c>
      <c r="C91" s="168" t="s">
        <v>264</v>
      </c>
      <c r="D91" s="169" t="s">
        <v>259</v>
      </c>
      <c r="E91" s="168" t="s">
        <v>266</v>
      </c>
    </row>
    <row r="92" spans="1:5" ht="17.25" customHeight="1">
      <c r="A92" s="171">
        <f t="shared" si="0"/>
        <v>6069</v>
      </c>
      <c r="B92" s="168" t="s">
        <v>239</v>
      </c>
      <c r="C92" s="168" t="s">
        <v>264</v>
      </c>
      <c r="D92" s="169" t="s">
        <v>259</v>
      </c>
      <c r="E92" s="168" t="s">
        <v>266</v>
      </c>
    </row>
    <row r="93" spans="1:5" ht="17.25" customHeight="1">
      <c r="A93" s="171">
        <f t="shared" si="0"/>
        <v>6072</v>
      </c>
      <c r="B93" s="168" t="s">
        <v>240</v>
      </c>
      <c r="C93" s="168" t="s">
        <v>264</v>
      </c>
      <c r="D93" s="169" t="s">
        <v>259</v>
      </c>
      <c r="E93" s="168" t="s">
        <v>266</v>
      </c>
    </row>
    <row r="94" spans="1:5" ht="17.25" customHeight="1">
      <c r="A94" s="171">
        <f t="shared" si="0"/>
        <v>6075</v>
      </c>
      <c r="B94" s="168" t="s">
        <v>241</v>
      </c>
      <c r="C94" s="168" t="s">
        <v>264</v>
      </c>
      <c r="D94" s="169" t="s">
        <v>259</v>
      </c>
      <c r="E94" s="168" t="s">
        <v>266</v>
      </c>
    </row>
    <row r="95" spans="1:5" ht="17.25" customHeight="1">
      <c r="A95" s="171">
        <f t="shared" si="0"/>
        <v>6078</v>
      </c>
      <c r="B95" s="168" t="s">
        <v>242</v>
      </c>
      <c r="C95" s="168" t="s">
        <v>264</v>
      </c>
      <c r="D95" s="169" t="s">
        <v>259</v>
      </c>
      <c r="E95" s="168" t="s">
        <v>266</v>
      </c>
    </row>
    <row r="96" spans="1:5" ht="17.25" customHeight="1">
      <c r="A96" s="171">
        <f t="shared" si="0"/>
        <v>6081</v>
      </c>
      <c r="B96" s="168" t="s">
        <v>243</v>
      </c>
      <c r="C96" s="168" t="s">
        <v>264</v>
      </c>
      <c r="D96" s="169" t="s">
        <v>259</v>
      </c>
      <c r="E96" s="168" t="s">
        <v>266</v>
      </c>
    </row>
    <row r="97" spans="1:5" ht="17.25" customHeight="1">
      <c r="A97" s="171">
        <f t="shared" si="0"/>
        <v>6084</v>
      </c>
      <c r="B97" s="168" t="s">
        <v>244</v>
      </c>
      <c r="C97" s="168" t="s">
        <v>264</v>
      </c>
      <c r="D97" s="169" t="s">
        <v>259</v>
      </c>
      <c r="E97" s="168" t="s">
        <v>266</v>
      </c>
    </row>
    <row r="98" spans="1:5" ht="17.25" customHeight="1">
      <c r="A98" s="171">
        <f t="shared" si="0"/>
        <v>6087</v>
      </c>
      <c r="B98" s="168" t="s">
        <v>245</v>
      </c>
      <c r="C98" s="168" t="s">
        <v>264</v>
      </c>
      <c r="D98" s="169" t="s">
        <v>259</v>
      </c>
      <c r="E98" s="168" t="s">
        <v>266</v>
      </c>
    </row>
    <row r="99" spans="1:5" ht="17.25" customHeight="1">
      <c r="A99" s="171" t="s">
        <v>246</v>
      </c>
      <c r="B99" s="168" t="s">
        <v>247</v>
      </c>
      <c r="C99" s="168" t="s">
        <v>248</v>
      </c>
      <c r="D99" s="169" t="s">
        <v>259</v>
      </c>
      <c r="E99" s="169" t="s">
        <v>265</v>
      </c>
    </row>
    <row r="100" spans="1:5" ht="17.25" customHeight="1">
      <c r="A100" s="171">
        <v>8005</v>
      </c>
      <c r="B100" s="168" t="s">
        <v>249</v>
      </c>
      <c r="C100" s="168" t="s">
        <v>248</v>
      </c>
      <c r="D100" s="169" t="s">
        <v>259</v>
      </c>
      <c r="E100" s="169" t="s">
        <v>265</v>
      </c>
    </row>
    <row r="101" spans="1:5" ht="17.25" customHeight="1">
      <c r="A101" s="171">
        <v>8010</v>
      </c>
      <c r="B101" s="168" t="s">
        <v>250</v>
      </c>
      <c r="C101" s="168" t="s">
        <v>248</v>
      </c>
      <c r="D101" s="169" t="s">
        <v>259</v>
      </c>
      <c r="E101" s="169" t="s">
        <v>265</v>
      </c>
    </row>
    <row r="102" spans="1:5" ht="17.25" customHeight="1">
      <c r="A102" s="171">
        <v>8015</v>
      </c>
      <c r="B102" s="168" t="s">
        <v>251</v>
      </c>
      <c r="C102" s="168" t="s">
        <v>248</v>
      </c>
      <c r="D102" s="169" t="s">
        <v>259</v>
      </c>
      <c r="E102" s="169" t="s">
        <v>265</v>
      </c>
    </row>
    <row r="103" spans="1:5" ht="17.25" customHeight="1">
      <c r="A103" s="171">
        <v>8020</v>
      </c>
      <c r="B103" s="168" t="s">
        <v>252</v>
      </c>
      <c r="C103" s="168" t="s">
        <v>248</v>
      </c>
      <c r="D103" s="169" t="s">
        <v>259</v>
      </c>
      <c r="E103" s="169" t="s">
        <v>265</v>
      </c>
    </row>
    <row r="104" spans="1:5" ht="17.25" customHeight="1">
      <c r="A104" s="171">
        <v>8025</v>
      </c>
      <c r="B104" s="168" t="s">
        <v>253</v>
      </c>
      <c r="C104" s="168" t="s">
        <v>248</v>
      </c>
      <c r="D104" s="169" t="s">
        <v>259</v>
      </c>
      <c r="E104" s="169" t="s">
        <v>265</v>
      </c>
    </row>
    <row r="105" spans="1:5" ht="17.25" customHeight="1">
      <c r="A105" s="171">
        <v>8030</v>
      </c>
      <c r="B105" s="168" t="s">
        <v>254</v>
      </c>
      <c r="C105" s="168" t="s">
        <v>248</v>
      </c>
      <c r="D105" s="169" t="s">
        <v>259</v>
      </c>
      <c r="E105" s="169" t="s">
        <v>265</v>
      </c>
    </row>
    <row r="106" spans="1:5" ht="17.25" customHeight="1">
      <c r="A106" s="171">
        <v>9050</v>
      </c>
      <c r="B106" s="168" t="s">
        <v>213</v>
      </c>
      <c r="C106" s="168" t="s">
        <v>213</v>
      </c>
      <c r="D106" s="169" t="s">
        <v>259</v>
      </c>
      <c r="E106" s="169" t="s">
        <v>265</v>
      </c>
    </row>
    <row r="107" spans="1:5" ht="17.25" customHeight="1">
      <c r="A107" s="171">
        <v>9055</v>
      </c>
      <c r="B107" s="168" t="s">
        <v>248</v>
      </c>
      <c r="C107" s="168" t="s">
        <v>248</v>
      </c>
      <c r="D107" s="169" t="s">
        <v>259</v>
      </c>
      <c r="E107" s="169" t="s">
        <v>265</v>
      </c>
    </row>
    <row r="108" spans="1:5">
      <c r="A108" s="172"/>
    </row>
  </sheetData>
  <mergeCells count="2">
    <mergeCell ref="D3:E3"/>
    <mergeCell ref="A1:E1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07EB7-14AA-441B-A319-1683AD0CC689}">
  <dimension ref="A1:Q234"/>
  <sheetViews>
    <sheetView topLeftCell="A49" workbookViewId="0">
      <selection activeCell="E79" sqref="E79"/>
    </sheetView>
  </sheetViews>
  <sheetFormatPr defaultColWidth="9.140625" defaultRowHeight="15"/>
  <cols>
    <col min="1" max="1" width="9.7109375" style="186" bestFit="1" customWidth="1"/>
    <col min="2" max="3" width="4.42578125" style="186" customWidth="1"/>
    <col min="4" max="4" width="11" style="186" customWidth="1"/>
    <col min="5" max="5" width="56.140625" style="186" customWidth="1"/>
    <col min="6" max="6" width="9.5703125" style="186" bestFit="1" customWidth="1"/>
    <col min="7" max="9" width="9.140625" style="186"/>
    <col min="10" max="10" width="9.7109375" style="186" bestFit="1" customWidth="1"/>
    <col min="11" max="12" width="4.42578125" style="186" customWidth="1"/>
    <col min="13" max="13" width="9.140625" style="186"/>
    <col min="14" max="14" width="45.42578125" style="186" customWidth="1"/>
    <col min="15" max="16384" width="9.140625" style="186"/>
  </cols>
  <sheetData>
    <row r="1" spans="1:17">
      <c r="A1" s="185" t="s">
        <v>287</v>
      </c>
      <c r="B1" s="185"/>
      <c r="C1" s="185"/>
      <c r="J1" s="185" t="s">
        <v>287</v>
      </c>
      <c r="K1" s="185"/>
      <c r="L1" s="185"/>
    </row>
    <row r="2" spans="1:17">
      <c r="A2" s="185" t="s">
        <v>255</v>
      </c>
      <c r="B2" s="185"/>
      <c r="C2" s="185"/>
      <c r="J2" s="185" t="s">
        <v>255</v>
      </c>
      <c r="K2" s="185"/>
      <c r="L2" s="185"/>
    </row>
    <row r="3" spans="1:17" ht="15.75" thickBot="1">
      <c r="A3" s="215">
        <v>45900</v>
      </c>
      <c r="B3" s="215"/>
      <c r="C3" s="215"/>
      <c r="D3" s="215"/>
      <c r="E3" s="187"/>
      <c r="F3" s="187"/>
      <c r="G3" s="187"/>
      <c r="H3" s="187"/>
      <c r="J3" s="215">
        <v>45900</v>
      </c>
      <c r="K3" s="215"/>
      <c r="L3" s="215"/>
      <c r="M3" s="215"/>
      <c r="N3" s="187"/>
      <c r="O3" s="187"/>
      <c r="P3" s="187"/>
      <c r="Q3" s="187"/>
    </row>
    <row r="5" spans="1:17" ht="18.75">
      <c r="A5" s="216" t="s">
        <v>288</v>
      </c>
      <c r="B5" s="216"/>
      <c r="C5" s="216"/>
      <c r="D5" s="216"/>
      <c r="E5" s="216"/>
      <c r="F5" s="216"/>
      <c r="G5" s="216"/>
      <c r="H5" s="216"/>
      <c r="I5" s="196"/>
      <c r="J5" s="216" t="s">
        <v>312</v>
      </c>
      <c r="K5" s="216"/>
      <c r="L5" s="216"/>
      <c r="M5" s="216"/>
      <c r="N5" s="216"/>
      <c r="O5" s="216"/>
      <c r="P5" s="216"/>
      <c r="Q5" s="216"/>
    </row>
    <row r="7" spans="1:17">
      <c r="F7" s="188" t="s">
        <v>292</v>
      </c>
      <c r="G7" s="188" t="s">
        <v>292</v>
      </c>
      <c r="H7" s="188" t="s">
        <v>293</v>
      </c>
      <c r="O7" s="188" t="s">
        <v>292</v>
      </c>
      <c r="P7" s="188" t="s">
        <v>292</v>
      </c>
      <c r="Q7" s="188" t="s">
        <v>293</v>
      </c>
    </row>
    <row r="8" spans="1:17">
      <c r="D8" s="197" t="s">
        <v>290</v>
      </c>
      <c r="E8" s="197" t="s">
        <v>291</v>
      </c>
      <c r="F8" s="198">
        <v>2025</v>
      </c>
      <c r="G8" s="198">
        <v>2024</v>
      </c>
      <c r="H8" s="198" t="s">
        <v>294</v>
      </c>
      <c r="M8" s="197" t="s">
        <v>290</v>
      </c>
      <c r="N8" s="197" t="s">
        <v>291</v>
      </c>
      <c r="O8" s="198">
        <v>2025</v>
      </c>
      <c r="P8" s="198">
        <v>2024</v>
      </c>
      <c r="Q8" s="198" t="s">
        <v>294</v>
      </c>
    </row>
    <row r="10" spans="1:17">
      <c r="A10" s="185" t="s">
        <v>289</v>
      </c>
      <c r="J10" s="185" t="s">
        <v>313</v>
      </c>
    </row>
    <row r="11" spans="1:17">
      <c r="B11" s="186" t="s">
        <v>161</v>
      </c>
      <c r="F11" s="189">
        <v>0</v>
      </c>
      <c r="G11" s="189">
        <v>0</v>
      </c>
      <c r="H11" s="189">
        <f>+F11-G11</f>
        <v>0</v>
      </c>
      <c r="K11" s="186" t="s">
        <v>314</v>
      </c>
      <c r="O11" s="189">
        <v>0</v>
      </c>
      <c r="P11" s="189">
        <v>0</v>
      </c>
      <c r="Q11" s="189">
        <f>+O11-P11</f>
        <v>0</v>
      </c>
    </row>
    <row r="12" spans="1:17" ht="15.75">
      <c r="D12" s="171" t="s">
        <v>157</v>
      </c>
      <c r="E12" s="168" t="s">
        <v>158</v>
      </c>
      <c r="M12" s="171">
        <v>2300</v>
      </c>
      <c r="N12" s="168" t="s">
        <v>194</v>
      </c>
    </row>
    <row r="13" spans="1:17" ht="15.75">
      <c r="D13" s="171">
        <v>1010</v>
      </c>
      <c r="E13" s="168" t="s">
        <v>160</v>
      </c>
      <c r="K13" s="186" t="s">
        <v>195</v>
      </c>
      <c r="M13" s="171"/>
      <c r="N13" s="168"/>
      <c r="O13" s="190">
        <v>0</v>
      </c>
      <c r="P13" s="190">
        <v>0</v>
      </c>
      <c r="Q13" s="190">
        <f>+O13-P13</f>
        <v>0</v>
      </c>
    </row>
    <row r="14" spans="1:17" ht="15.75">
      <c r="B14" s="186" t="s">
        <v>162</v>
      </c>
      <c r="F14" s="190">
        <v>0</v>
      </c>
      <c r="G14" s="190">
        <v>0</v>
      </c>
      <c r="H14" s="190">
        <f>+F14-G14</f>
        <v>0</v>
      </c>
      <c r="M14" s="171">
        <v>2350</v>
      </c>
      <c r="N14" s="168" t="s">
        <v>195</v>
      </c>
      <c r="O14" s="190"/>
      <c r="P14" s="190"/>
      <c r="Q14" s="190"/>
    </row>
    <row r="15" spans="1:17" ht="15.75">
      <c r="D15" s="171">
        <v>1200</v>
      </c>
      <c r="E15" s="168" t="s">
        <v>162</v>
      </c>
      <c r="K15" s="186" t="s">
        <v>196</v>
      </c>
      <c r="M15" s="171"/>
      <c r="N15" s="168"/>
      <c r="O15" s="190">
        <v>0</v>
      </c>
      <c r="P15" s="190">
        <v>0</v>
      </c>
      <c r="Q15" s="190">
        <f>+O15-P15</f>
        <v>0</v>
      </c>
    </row>
    <row r="16" spans="1:17" ht="15.75">
      <c r="B16" s="186" t="s">
        <v>164</v>
      </c>
      <c r="F16" s="190">
        <v>0</v>
      </c>
      <c r="G16" s="190">
        <v>0</v>
      </c>
      <c r="H16" s="190">
        <f>+F16-G16</f>
        <v>0</v>
      </c>
      <c r="M16" s="171">
        <v>2360</v>
      </c>
      <c r="N16" s="168" t="s">
        <v>196</v>
      </c>
      <c r="O16" s="190"/>
      <c r="P16" s="190"/>
      <c r="Q16" s="190"/>
    </row>
    <row r="17" spans="2:17" ht="15.75">
      <c r="D17" s="171">
        <v>1210</v>
      </c>
      <c r="E17" s="168" t="s">
        <v>164</v>
      </c>
      <c r="K17" s="186" t="s">
        <v>185</v>
      </c>
      <c r="M17" s="171"/>
      <c r="N17" s="168"/>
      <c r="O17" s="190">
        <v>0</v>
      </c>
      <c r="P17" s="190">
        <v>0</v>
      </c>
      <c r="Q17" s="190">
        <f>+O17-P17</f>
        <v>0</v>
      </c>
    </row>
    <row r="18" spans="2:17" ht="15.75">
      <c r="D18" s="171"/>
      <c r="E18" s="186" t="s">
        <v>306</v>
      </c>
      <c r="F18" s="191">
        <f>SUM(F14:F17)</f>
        <v>0</v>
      </c>
      <c r="G18" s="191">
        <f>SUM(G14:G17)</f>
        <v>0</v>
      </c>
      <c r="H18" s="192">
        <f>+F18-G18</f>
        <v>0</v>
      </c>
      <c r="M18" s="171" t="s">
        <v>184</v>
      </c>
      <c r="N18" s="168" t="s">
        <v>185</v>
      </c>
      <c r="O18" s="199"/>
      <c r="P18" s="199"/>
      <c r="Q18" s="200"/>
    </row>
    <row r="19" spans="2:17" ht="15.75">
      <c r="D19" s="171"/>
      <c r="E19" s="168"/>
      <c r="K19" s="186" t="s">
        <v>315</v>
      </c>
      <c r="M19" s="171"/>
      <c r="N19" s="168"/>
      <c r="O19" s="190">
        <v>0</v>
      </c>
      <c r="P19" s="190">
        <v>0</v>
      </c>
      <c r="Q19" s="190">
        <f>+O19-P19</f>
        <v>0</v>
      </c>
    </row>
    <row r="20" spans="2:17" ht="15.75">
      <c r="B20" s="186" t="s">
        <v>295</v>
      </c>
      <c r="M20" s="171" t="s">
        <v>187</v>
      </c>
      <c r="N20" s="168" t="s">
        <v>188</v>
      </c>
    </row>
    <row r="21" spans="2:17" ht="15.75">
      <c r="C21" s="186" t="s">
        <v>296</v>
      </c>
      <c r="F21" s="190">
        <v>0</v>
      </c>
      <c r="G21" s="190">
        <v>0</v>
      </c>
      <c r="H21" s="190">
        <f>+F21-G21</f>
        <v>0</v>
      </c>
      <c r="M21" s="171">
        <v>2110</v>
      </c>
      <c r="N21" s="168" t="s">
        <v>190</v>
      </c>
      <c r="O21" s="200"/>
      <c r="P21" s="200"/>
      <c r="Q21" s="200"/>
    </row>
    <row r="22" spans="2:17" ht="15.75">
      <c r="D22" s="171">
        <v>1400</v>
      </c>
      <c r="E22" s="168" t="s">
        <v>168</v>
      </c>
      <c r="M22" s="171">
        <v>2120</v>
      </c>
      <c r="N22" s="168" t="s">
        <v>191</v>
      </c>
    </row>
    <row r="23" spans="2:17" ht="15.75">
      <c r="C23" s="186" t="s">
        <v>170</v>
      </c>
      <c r="F23" s="190">
        <v>0</v>
      </c>
      <c r="G23" s="190">
        <v>0</v>
      </c>
      <c r="H23" s="190">
        <f>+F23-G23</f>
        <v>0</v>
      </c>
      <c r="M23" s="171">
        <v>2130</v>
      </c>
      <c r="N23" s="168" t="s">
        <v>192</v>
      </c>
      <c r="O23" s="200"/>
      <c r="P23" s="200"/>
      <c r="Q23" s="200"/>
    </row>
    <row r="24" spans="2:17" ht="15.75">
      <c r="D24" s="171">
        <v>1410</v>
      </c>
      <c r="E24" s="168" t="s">
        <v>170</v>
      </c>
      <c r="K24" s="186" t="s">
        <v>318</v>
      </c>
      <c r="M24" s="171"/>
      <c r="O24" s="190">
        <v>0</v>
      </c>
      <c r="P24" s="190">
        <v>0</v>
      </c>
      <c r="Q24" s="190">
        <f>+O24-P24</f>
        <v>0</v>
      </c>
    </row>
    <row r="25" spans="2:17" ht="15.75">
      <c r="C25" s="186" t="s">
        <v>325</v>
      </c>
      <c r="F25" s="190">
        <v>0</v>
      </c>
      <c r="G25" s="190">
        <v>0</v>
      </c>
      <c r="H25" s="190">
        <f>+F25-G25</f>
        <v>0</v>
      </c>
      <c r="M25" s="171">
        <v>2200</v>
      </c>
      <c r="N25" s="168" t="s">
        <v>193</v>
      </c>
    </row>
    <row r="26" spans="2:17" ht="15.75">
      <c r="D26" s="171">
        <v>1490</v>
      </c>
      <c r="E26" s="168" t="s">
        <v>305</v>
      </c>
      <c r="N26" s="186" t="s">
        <v>316</v>
      </c>
      <c r="O26" s="192">
        <f>SUM(O11:O24)</f>
        <v>0</v>
      </c>
      <c r="P26" s="192">
        <f>SUM(P11:P24)</f>
        <v>0</v>
      </c>
      <c r="Q26" s="192">
        <f>+O26-P26</f>
        <v>0</v>
      </c>
    </row>
    <row r="27" spans="2:17" ht="15.75">
      <c r="D27" s="171"/>
      <c r="E27" s="186" t="s">
        <v>307</v>
      </c>
      <c r="F27" s="191">
        <f>SUM(F21:F26)</f>
        <v>0</v>
      </c>
      <c r="G27" s="191">
        <f>SUM(G21:G26)</f>
        <v>0</v>
      </c>
      <c r="H27" s="191">
        <f>+F27-G27</f>
        <v>0</v>
      </c>
    </row>
    <row r="28" spans="2:17" ht="15.75">
      <c r="D28" s="171"/>
      <c r="E28" s="168"/>
      <c r="J28" s="185" t="s">
        <v>317</v>
      </c>
    </row>
    <row r="29" spans="2:17" ht="15.75">
      <c r="B29" s="186" t="s">
        <v>297</v>
      </c>
      <c r="F29" s="190">
        <v>0</v>
      </c>
      <c r="G29" s="190">
        <v>0</v>
      </c>
      <c r="H29" s="190">
        <f>+F29-G29</f>
        <v>0</v>
      </c>
      <c r="K29" s="186" t="s">
        <v>199</v>
      </c>
      <c r="M29" s="171"/>
      <c r="N29" s="168"/>
      <c r="O29" s="190">
        <v>0</v>
      </c>
      <c r="P29" s="190">
        <v>0</v>
      </c>
      <c r="Q29" s="190">
        <f>+O29-P29</f>
        <v>0</v>
      </c>
    </row>
    <row r="30" spans="2:17" ht="15.75">
      <c r="D30" s="171">
        <v>1300</v>
      </c>
      <c r="E30" s="168" t="s">
        <v>165</v>
      </c>
      <c r="M30" s="171" t="s">
        <v>198</v>
      </c>
      <c r="N30" s="168" t="s">
        <v>199</v>
      </c>
      <c r="O30" s="190"/>
      <c r="P30" s="190"/>
      <c r="Q30" s="190"/>
    </row>
    <row r="31" spans="2:17" ht="15.75">
      <c r="D31" s="171">
        <v>1310</v>
      </c>
      <c r="E31" s="168" t="s">
        <v>167</v>
      </c>
      <c r="K31" s="186" t="s">
        <v>201</v>
      </c>
      <c r="M31" s="171"/>
      <c r="N31" s="168"/>
      <c r="O31" s="190">
        <v>0</v>
      </c>
      <c r="P31" s="190">
        <v>0</v>
      </c>
      <c r="Q31" s="190">
        <f>+O31-P31</f>
        <v>0</v>
      </c>
    </row>
    <row r="32" spans="2:17" ht="15.75">
      <c r="D32" s="171"/>
      <c r="E32" s="168"/>
      <c r="M32" s="171">
        <v>2710</v>
      </c>
      <c r="N32" s="168" t="s">
        <v>201</v>
      </c>
    </row>
    <row r="33" spans="1:17">
      <c r="E33" s="186" t="s">
        <v>298</v>
      </c>
      <c r="F33" s="192">
        <f>F11+F18+F27+F29</f>
        <v>0</v>
      </c>
      <c r="G33" s="192">
        <f>G11+G18+G27+G29</f>
        <v>0</v>
      </c>
      <c r="H33" s="192">
        <f>+F33-G33</f>
        <v>0</v>
      </c>
      <c r="K33" s="186" t="s">
        <v>197</v>
      </c>
      <c r="O33" s="190">
        <v>0</v>
      </c>
      <c r="P33" s="190">
        <v>0</v>
      </c>
      <c r="Q33" s="190">
        <f>+O33-P33</f>
        <v>0</v>
      </c>
    </row>
    <row r="34" spans="1:17" ht="15.75">
      <c r="M34" s="171">
        <v>2500</v>
      </c>
      <c r="N34" s="168" t="s">
        <v>197</v>
      </c>
      <c r="O34" s="200"/>
      <c r="P34" s="200"/>
      <c r="Q34" s="200"/>
    </row>
    <row r="35" spans="1:17">
      <c r="A35" s="185" t="s">
        <v>299</v>
      </c>
      <c r="N35" s="186" t="s">
        <v>321</v>
      </c>
      <c r="O35" s="192">
        <f>SUM(O29:O33)</f>
        <v>0</v>
      </c>
      <c r="P35" s="192">
        <f t="shared" ref="P35" si="0">SUM(P29:P33)</f>
        <v>0</v>
      </c>
      <c r="Q35" s="192">
        <f>+O35-P35</f>
        <v>0</v>
      </c>
    </row>
    <row r="36" spans="1:17">
      <c r="B36" s="186" t="s">
        <v>171</v>
      </c>
      <c r="F36" s="190">
        <v>0</v>
      </c>
      <c r="G36" s="190">
        <v>0</v>
      </c>
      <c r="H36" s="190">
        <f>+F36-G36</f>
        <v>0</v>
      </c>
    </row>
    <row r="37" spans="1:17" ht="15.75">
      <c r="D37" s="171">
        <v>1500</v>
      </c>
      <c r="E37" s="168" t="s">
        <v>171</v>
      </c>
      <c r="J37" s="185" t="s">
        <v>326</v>
      </c>
      <c r="O37" s="200"/>
      <c r="P37" s="200"/>
      <c r="Q37" s="200"/>
    </row>
    <row r="38" spans="1:17" ht="15.75">
      <c r="B38" s="186" t="s">
        <v>173</v>
      </c>
      <c r="F38" s="190">
        <v>0</v>
      </c>
      <c r="G38" s="190">
        <v>0</v>
      </c>
      <c r="H38" s="190">
        <f>+F38-G38</f>
        <v>0</v>
      </c>
      <c r="K38" s="186" t="s">
        <v>319</v>
      </c>
      <c r="M38" s="171"/>
      <c r="N38" s="168"/>
      <c r="O38" s="190">
        <v>0</v>
      </c>
      <c r="P38" s="190">
        <v>0</v>
      </c>
      <c r="Q38" s="190">
        <f>+O38-P38</f>
        <v>0</v>
      </c>
    </row>
    <row r="39" spans="1:17" ht="15.75">
      <c r="D39" s="171">
        <v>1510</v>
      </c>
      <c r="E39" s="168" t="s">
        <v>173</v>
      </c>
      <c r="M39" s="171">
        <v>3500</v>
      </c>
      <c r="N39" s="168" t="s">
        <v>206</v>
      </c>
      <c r="O39" s="200"/>
      <c r="P39" s="200"/>
      <c r="Q39" s="200"/>
    </row>
    <row r="40" spans="1:17" ht="15.75">
      <c r="B40" s="186" t="s">
        <v>300</v>
      </c>
      <c r="F40" s="190">
        <v>0</v>
      </c>
      <c r="G40" s="190">
        <v>0</v>
      </c>
      <c r="H40" s="190">
        <f>+F40-G40</f>
        <v>0</v>
      </c>
      <c r="M40" s="171">
        <v>3200</v>
      </c>
      <c r="N40" s="168" t="s">
        <v>205</v>
      </c>
    </row>
    <row r="41" spans="1:17" ht="15.75">
      <c r="D41" s="171">
        <v>1520</v>
      </c>
      <c r="E41" s="168" t="s">
        <v>300</v>
      </c>
      <c r="K41" s="186" t="s">
        <v>320</v>
      </c>
      <c r="O41" s="190">
        <v>0</v>
      </c>
      <c r="P41" s="190">
        <v>0</v>
      </c>
      <c r="Q41" s="190">
        <f>+O41-P41</f>
        <v>0</v>
      </c>
    </row>
    <row r="42" spans="1:17" ht="15.75">
      <c r="B42" s="186" t="s">
        <v>301</v>
      </c>
      <c r="F42" s="190">
        <v>0</v>
      </c>
      <c r="G42" s="190">
        <v>0</v>
      </c>
      <c r="H42" s="190">
        <f>+F42-G42</f>
        <v>0</v>
      </c>
      <c r="M42" s="171">
        <v>3000</v>
      </c>
      <c r="N42" s="168" t="s">
        <v>202</v>
      </c>
    </row>
    <row r="43" spans="1:17" ht="15.75">
      <c r="D43" s="171">
        <v>1530</v>
      </c>
      <c r="E43" s="168" t="s">
        <v>301</v>
      </c>
      <c r="M43" s="171">
        <v>3100</v>
      </c>
      <c r="N43" s="168" t="s">
        <v>204</v>
      </c>
      <c r="O43" s="200"/>
      <c r="P43" s="200"/>
      <c r="Q43" s="200"/>
    </row>
    <row r="44" spans="1:17" ht="15.75">
      <c r="B44" s="186" t="s">
        <v>302</v>
      </c>
      <c r="F44" s="190">
        <v>0</v>
      </c>
      <c r="G44" s="190">
        <v>0</v>
      </c>
      <c r="H44" s="190">
        <f>+F44-G44</f>
        <v>0</v>
      </c>
      <c r="K44" s="186" t="s">
        <v>322</v>
      </c>
      <c r="M44" s="171"/>
      <c r="N44" s="168"/>
      <c r="O44" s="190">
        <v>0</v>
      </c>
      <c r="P44" s="190">
        <v>0</v>
      </c>
      <c r="Q44" s="190">
        <f>+O44-P44</f>
        <v>0</v>
      </c>
    </row>
    <row r="45" spans="1:17" ht="15.75">
      <c r="D45" s="171">
        <v>1540</v>
      </c>
      <c r="E45" s="168" t="s">
        <v>302</v>
      </c>
      <c r="N45" s="186" t="s">
        <v>323</v>
      </c>
      <c r="O45" s="201">
        <f>SUM(O38:O44)</f>
        <v>0</v>
      </c>
      <c r="P45" s="201">
        <f>SUM(P38:P44)</f>
        <v>0</v>
      </c>
      <c r="Q45" s="201">
        <f>+O45-P45</f>
        <v>0</v>
      </c>
    </row>
    <row r="46" spans="1:17">
      <c r="B46" s="186" t="s">
        <v>267</v>
      </c>
      <c r="F46" s="190">
        <v>0</v>
      </c>
      <c r="G46" s="190">
        <v>0</v>
      </c>
      <c r="H46" s="190">
        <f>+F46-G46</f>
        <v>0</v>
      </c>
      <c r="O46" s="194"/>
      <c r="P46" s="194"/>
      <c r="Q46" s="194"/>
    </row>
    <row r="47" spans="1:17" ht="16.5" thickBot="1">
      <c r="D47" s="171">
        <v>1550</v>
      </c>
      <c r="E47" s="168" t="s">
        <v>267</v>
      </c>
      <c r="N47" s="186" t="s">
        <v>324</v>
      </c>
      <c r="O47" s="195">
        <f>+O26+O35+O45</f>
        <v>0</v>
      </c>
      <c r="P47" s="195">
        <f>+P26+P35+P45</f>
        <v>0</v>
      </c>
      <c r="Q47" s="195">
        <f>+O47-P47</f>
        <v>0</v>
      </c>
    </row>
    <row r="48" spans="1:17" ht="16.5" thickTop="1">
      <c r="D48" s="171"/>
      <c r="E48" s="168"/>
      <c r="F48" s="192">
        <f>SUM(F36:F47)</f>
        <v>0</v>
      </c>
      <c r="G48" s="192">
        <f t="shared" ref="G48" si="1">SUM(G36:G47)</f>
        <v>0</v>
      </c>
      <c r="H48" s="192">
        <f>+F48-G48</f>
        <v>0</v>
      </c>
    </row>
    <row r="49" spans="1:17" ht="15.75">
      <c r="B49" s="186" t="s">
        <v>177</v>
      </c>
      <c r="F49" s="190">
        <v>0</v>
      </c>
      <c r="G49" s="190">
        <v>0</v>
      </c>
      <c r="H49" s="190">
        <f>+F49-G49</f>
        <v>0</v>
      </c>
      <c r="M49" s="171"/>
      <c r="N49" s="168"/>
    </row>
    <row r="50" spans="1:17" ht="15.75">
      <c r="D50" s="171">
        <v>1590</v>
      </c>
      <c r="E50" s="168" t="s">
        <v>177</v>
      </c>
      <c r="O50" s="199"/>
      <c r="P50" s="199"/>
      <c r="Q50" s="199"/>
    </row>
    <row r="51" spans="1:17">
      <c r="E51" s="186" t="s">
        <v>308</v>
      </c>
      <c r="F51" s="191">
        <f>SUM(F48:F49)</f>
        <v>0</v>
      </c>
      <c r="G51" s="191">
        <f>SUM(G48:G49)</f>
        <v>0</v>
      </c>
      <c r="H51" s="191">
        <f>+F51-G51</f>
        <v>0</v>
      </c>
      <c r="J51" s="185"/>
    </row>
    <row r="52" spans="1:17">
      <c r="A52" s="185" t="s">
        <v>303</v>
      </c>
      <c r="O52" s="200"/>
      <c r="P52" s="200"/>
      <c r="Q52" s="200"/>
    </row>
    <row r="53" spans="1:17" ht="15.75">
      <c r="B53" s="186" t="s">
        <v>304</v>
      </c>
      <c r="F53" s="190">
        <v>0</v>
      </c>
      <c r="G53" s="190">
        <v>0</v>
      </c>
      <c r="H53" s="190">
        <f>+F53-G53</f>
        <v>0</v>
      </c>
      <c r="M53" s="171"/>
      <c r="N53" s="168"/>
    </row>
    <row r="54" spans="1:17" ht="15.75">
      <c r="D54" s="171">
        <v>1600</v>
      </c>
      <c r="E54" s="168" t="s">
        <v>178</v>
      </c>
      <c r="O54" s="200"/>
      <c r="P54" s="200"/>
      <c r="Q54" s="200"/>
    </row>
    <row r="55" spans="1:17" ht="15.75">
      <c r="B55" s="186" t="s">
        <v>310</v>
      </c>
      <c r="F55" s="190">
        <v>0</v>
      </c>
      <c r="G55" s="190">
        <v>0</v>
      </c>
      <c r="H55" s="190">
        <f>+F55-G55</f>
        <v>0</v>
      </c>
      <c r="M55" s="171"/>
      <c r="N55" s="168"/>
    </row>
    <row r="56" spans="1:17" ht="15.75">
      <c r="D56" s="171" t="s">
        <v>182</v>
      </c>
      <c r="E56" s="168" t="s">
        <v>183</v>
      </c>
      <c r="M56" s="171"/>
      <c r="N56" s="168"/>
    </row>
    <row r="57" spans="1:17" ht="15.75">
      <c r="D57" s="171">
        <v>1910</v>
      </c>
      <c r="E57" s="168" t="s">
        <v>181</v>
      </c>
      <c r="M57" s="171"/>
      <c r="N57" s="168"/>
    </row>
    <row r="58" spans="1:17" ht="15.75">
      <c r="D58" s="171">
        <v>1990</v>
      </c>
      <c r="E58" s="168" t="s">
        <v>268</v>
      </c>
      <c r="O58" s="199"/>
      <c r="P58" s="199"/>
      <c r="Q58" s="199"/>
    </row>
    <row r="59" spans="1:17">
      <c r="E59" s="186" t="s">
        <v>309</v>
      </c>
      <c r="F59" s="193">
        <f>SUM(F53:F58)</f>
        <v>0</v>
      </c>
      <c r="G59" s="193">
        <f>SUM(G53:G58)</f>
        <v>0</v>
      </c>
      <c r="H59" s="193">
        <f>+F59-G59</f>
        <v>0</v>
      </c>
    </row>
    <row r="60" spans="1:17" ht="15.75">
      <c r="F60" s="194"/>
      <c r="G60" s="194"/>
      <c r="H60" s="194"/>
      <c r="N60" s="168"/>
    </row>
    <row r="61" spans="1:17" ht="15.75" thickBot="1">
      <c r="E61" s="202" t="s">
        <v>311</v>
      </c>
      <c r="F61" s="195">
        <f>+F33+F51+F59</f>
        <v>0</v>
      </c>
      <c r="G61" s="195">
        <f>+G33+G51+G59</f>
        <v>0</v>
      </c>
      <c r="H61" s="195">
        <f>+F61-G61</f>
        <v>0</v>
      </c>
    </row>
    <row r="62" spans="1:17" ht="15.75" thickTop="1"/>
    <row r="64" spans="1:17">
      <c r="A64" s="185" t="s">
        <v>287</v>
      </c>
      <c r="B64" s="185"/>
      <c r="C64" s="185"/>
    </row>
    <row r="65" spans="1:9">
      <c r="A65" s="185" t="s">
        <v>329</v>
      </c>
      <c r="B65" s="185"/>
      <c r="C65" s="185"/>
    </row>
    <row r="66" spans="1:9" ht="15.75" thickBot="1">
      <c r="A66" s="215">
        <v>45900</v>
      </c>
      <c r="B66" s="215"/>
      <c r="C66" s="215"/>
      <c r="D66" s="215"/>
      <c r="E66" s="187"/>
      <c r="F66" s="187"/>
      <c r="G66" s="187"/>
      <c r="H66" s="187"/>
    </row>
    <row r="68" spans="1:9">
      <c r="F68" s="188" t="s">
        <v>335</v>
      </c>
      <c r="G68" s="188" t="s">
        <v>292</v>
      </c>
      <c r="H68" s="188" t="s">
        <v>335</v>
      </c>
    </row>
    <row r="69" spans="1:9">
      <c r="D69" s="197" t="s">
        <v>290</v>
      </c>
      <c r="E69" s="197" t="s">
        <v>291</v>
      </c>
      <c r="F69" s="198">
        <v>2025</v>
      </c>
      <c r="G69" s="198">
        <v>2025</v>
      </c>
      <c r="H69" s="198" t="s">
        <v>294</v>
      </c>
    </row>
    <row r="71" spans="1:9">
      <c r="A71" s="185" t="s">
        <v>330</v>
      </c>
    </row>
    <row r="72" spans="1:9">
      <c r="B72" s="186" t="s">
        <v>331</v>
      </c>
      <c r="F72" s="190"/>
      <c r="G72" s="190"/>
      <c r="H72" s="190"/>
      <c r="I72" s="190"/>
    </row>
    <row r="73" spans="1:9" ht="15.75">
      <c r="D73" s="171" t="s">
        <v>207</v>
      </c>
      <c r="E73" s="168" t="s">
        <v>208</v>
      </c>
      <c r="F73" s="203">
        <v>0</v>
      </c>
      <c r="G73" s="203">
        <v>0</v>
      </c>
      <c r="H73" s="203">
        <v>0</v>
      </c>
      <c r="I73" s="190"/>
    </row>
    <row r="74" spans="1:9" ht="15.75">
      <c r="D74" s="171">
        <v>4020</v>
      </c>
      <c r="E74" s="168" t="s">
        <v>211</v>
      </c>
      <c r="F74" s="190">
        <v>0</v>
      </c>
      <c r="G74" s="190">
        <v>0</v>
      </c>
      <c r="H74" s="190">
        <v>0</v>
      </c>
      <c r="I74" s="190"/>
    </row>
    <row r="75" spans="1:9">
      <c r="B75" s="186" t="s">
        <v>332</v>
      </c>
      <c r="F75" s="190"/>
      <c r="G75" s="190"/>
      <c r="H75" s="190"/>
      <c r="I75" s="190"/>
    </row>
    <row r="76" spans="1:9" ht="15.75">
      <c r="D76" s="171">
        <v>4010</v>
      </c>
      <c r="E76" s="168" t="s">
        <v>210</v>
      </c>
      <c r="F76" s="190">
        <v>0</v>
      </c>
      <c r="G76" s="190">
        <v>0</v>
      </c>
      <c r="H76" s="190">
        <v>0</v>
      </c>
      <c r="I76" s="190"/>
    </row>
    <row r="77" spans="1:9">
      <c r="B77" s="186" t="s">
        <v>333</v>
      </c>
      <c r="F77" s="190"/>
      <c r="G77" s="190"/>
      <c r="H77" s="190"/>
      <c r="I77" s="190"/>
    </row>
    <row r="78" spans="1:9" ht="15.75">
      <c r="D78" s="171" t="s">
        <v>212</v>
      </c>
      <c r="E78" s="168" t="s">
        <v>214</v>
      </c>
      <c r="F78" s="190">
        <v>0</v>
      </c>
      <c r="G78" s="190">
        <v>0</v>
      </c>
      <c r="H78" s="190">
        <v>0</v>
      </c>
      <c r="I78" s="190"/>
    </row>
    <row r="79" spans="1:9">
      <c r="E79" s="186" t="s">
        <v>334</v>
      </c>
      <c r="F79" s="192">
        <f>SUM(F73:F78)</f>
        <v>0</v>
      </c>
      <c r="G79" s="192">
        <f t="shared" ref="G79:H79" si="2">SUM(G73:G78)</f>
        <v>0</v>
      </c>
      <c r="H79" s="192">
        <f t="shared" si="2"/>
        <v>0</v>
      </c>
      <c r="I79" s="190"/>
    </row>
    <row r="80" spans="1:9">
      <c r="F80" s="190"/>
      <c r="G80" s="190"/>
      <c r="H80" s="190"/>
      <c r="I80" s="190"/>
    </row>
    <row r="81" spans="1:9">
      <c r="A81" s="185" t="s">
        <v>352</v>
      </c>
      <c r="F81" s="190"/>
      <c r="G81" s="190"/>
      <c r="H81" s="190"/>
      <c r="I81" s="190"/>
    </row>
    <row r="82" spans="1:9">
      <c r="B82" s="186" t="s">
        <v>363</v>
      </c>
      <c r="F82" s="190"/>
      <c r="G82" s="190"/>
      <c r="H82" s="190"/>
      <c r="I82" s="190"/>
    </row>
    <row r="83" spans="1:9" ht="15.75">
      <c r="D83" s="171" t="s">
        <v>215</v>
      </c>
      <c r="E83" s="168" t="s">
        <v>59</v>
      </c>
      <c r="F83" s="190">
        <v>0</v>
      </c>
      <c r="G83" s="190">
        <v>0</v>
      </c>
      <c r="H83" s="190">
        <v>0</v>
      </c>
      <c r="I83" s="190"/>
    </row>
    <row r="84" spans="1:9">
      <c r="B84" s="186" t="s">
        <v>336</v>
      </c>
      <c r="F84" s="190"/>
      <c r="G84" s="190"/>
      <c r="H84" s="190"/>
      <c r="I84" s="190"/>
    </row>
    <row r="85" spans="1:9" ht="15.75">
      <c r="D85" s="171">
        <v>5010</v>
      </c>
      <c r="E85" s="168" t="s">
        <v>61</v>
      </c>
      <c r="F85" s="190">
        <v>0</v>
      </c>
      <c r="G85" s="190">
        <v>0</v>
      </c>
      <c r="H85" s="190">
        <v>0</v>
      </c>
      <c r="I85" s="190"/>
    </row>
    <row r="86" spans="1:9">
      <c r="B86" s="186" t="s">
        <v>337</v>
      </c>
      <c r="F86" s="190"/>
      <c r="G86" s="190"/>
      <c r="H86" s="190"/>
      <c r="I86" s="190"/>
    </row>
    <row r="87" spans="1:9" ht="15.75">
      <c r="D87" s="171">
        <v>5020</v>
      </c>
      <c r="E87" s="168" t="s">
        <v>62</v>
      </c>
      <c r="F87" s="190">
        <v>0</v>
      </c>
      <c r="G87" s="190">
        <v>0</v>
      </c>
      <c r="H87" s="190">
        <v>0</v>
      </c>
      <c r="I87" s="190"/>
    </row>
    <row r="88" spans="1:9">
      <c r="B88" s="186" t="s">
        <v>98</v>
      </c>
      <c r="F88" s="190"/>
      <c r="G88" s="190"/>
      <c r="H88" s="190"/>
      <c r="I88" s="190"/>
    </row>
    <row r="89" spans="1:9" ht="15.75">
      <c r="D89" s="171">
        <v>5100</v>
      </c>
      <c r="E89" s="168" t="s">
        <v>98</v>
      </c>
      <c r="F89" s="190">
        <v>0</v>
      </c>
      <c r="G89" s="190">
        <v>0</v>
      </c>
      <c r="H89" s="190">
        <v>0</v>
      </c>
      <c r="I89" s="190"/>
    </row>
    <row r="90" spans="1:9">
      <c r="B90" s="186" t="s">
        <v>338</v>
      </c>
      <c r="F90" s="190"/>
      <c r="G90" s="190"/>
      <c r="H90" s="190"/>
      <c r="I90" s="190"/>
    </row>
    <row r="91" spans="1:9" ht="15.75">
      <c r="D91" s="171">
        <v>5102</v>
      </c>
      <c r="E91" s="168" t="s">
        <v>341</v>
      </c>
      <c r="F91" s="190">
        <v>0</v>
      </c>
      <c r="G91" s="190">
        <v>0</v>
      </c>
      <c r="H91" s="190">
        <v>0</v>
      </c>
      <c r="I91" s="190"/>
    </row>
    <row r="92" spans="1:9">
      <c r="B92" s="186" t="s">
        <v>339</v>
      </c>
      <c r="F92" s="190"/>
      <c r="G92" s="190"/>
      <c r="H92" s="190"/>
      <c r="I92" s="190"/>
    </row>
    <row r="93" spans="1:9" ht="15.75">
      <c r="D93" s="171">
        <v>5105</v>
      </c>
      <c r="E93" s="168" t="s">
        <v>92</v>
      </c>
      <c r="F93" s="190">
        <v>0</v>
      </c>
      <c r="G93" s="190">
        <v>0</v>
      </c>
      <c r="H93" s="190">
        <v>0</v>
      </c>
      <c r="I93" s="190"/>
    </row>
    <row r="94" spans="1:9" ht="15.75">
      <c r="D94" s="171">
        <v>5115</v>
      </c>
      <c r="E94" s="168" t="s">
        <v>3</v>
      </c>
      <c r="F94" s="190">
        <v>0</v>
      </c>
      <c r="G94" s="190">
        <v>0</v>
      </c>
      <c r="H94" s="190">
        <v>0</v>
      </c>
      <c r="I94" s="190"/>
    </row>
    <row r="95" spans="1:9" ht="15.75">
      <c r="B95" s="186" t="s">
        <v>85</v>
      </c>
      <c r="D95" s="171"/>
      <c r="E95" s="168"/>
      <c r="F95" s="190"/>
      <c r="G95" s="190"/>
      <c r="H95" s="190"/>
      <c r="I95" s="190"/>
    </row>
    <row r="96" spans="1:9" ht="15.75">
      <c r="D96" s="171">
        <v>5120</v>
      </c>
      <c r="E96" s="168" t="s">
        <v>153</v>
      </c>
      <c r="F96" s="190">
        <v>0</v>
      </c>
      <c r="G96" s="190">
        <v>0</v>
      </c>
      <c r="H96" s="190">
        <v>0</v>
      </c>
      <c r="I96" s="190"/>
    </row>
    <row r="97" spans="2:9">
      <c r="B97" s="186" t="s">
        <v>340</v>
      </c>
      <c r="F97" s="190"/>
      <c r="G97" s="190"/>
      <c r="H97" s="190"/>
      <c r="I97" s="190"/>
    </row>
    <row r="98" spans="2:9" ht="15.75">
      <c r="D98" s="171">
        <v>5110</v>
      </c>
      <c r="E98" s="168" t="s">
        <v>51</v>
      </c>
      <c r="F98" s="190">
        <v>0</v>
      </c>
      <c r="G98" s="190">
        <v>0</v>
      </c>
      <c r="H98" s="190">
        <v>0</v>
      </c>
      <c r="I98" s="190"/>
    </row>
    <row r="99" spans="2:9">
      <c r="E99" s="185" t="s">
        <v>349</v>
      </c>
      <c r="F99" s="205">
        <f>SUM(F83:F98)</f>
        <v>0</v>
      </c>
      <c r="G99" s="205">
        <f t="shared" ref="G99:H99" si="3">SUM(G83:G98)</f>
        <v>0</v>
      </c>
      <c r="H99" s="205">
        <f t="shared" si="3"/>
        <v>0</v>
      </c>
    </row>
    <row r="100" spans="2:9" ht="15.75">
      <c r="D100" s="171"/>
      <c r="E100" s="168"/>
      <c r="F100" s="190"/>
      <c r="G100" s="190"/>
      <c r="H100" s="190"/>
      <c r="I100" s="190"/>
    </row>
    <row r="101" spans="2:9" ht="15.75">
      <c r="B101" s="186" t="s">
        <v>364</v>
      </c>
      <c r="D101" s="171"/>
      <c r="E101" s="168"/>
      <c r="F101" s="190"/>
      <c r="G101" s="190"/>
      <c r="H101" s="190"/>
      <c r="I101" s="190"/>
    </row>
    <row r="102" spans="2:9" ht="15.75">
      <c r="D102" s="171">
        <v>5160</v>
      </c>
      <c r="E102" s="168" t="s">
        <v>270</v>
      </c>
      <c r="F102" s="190">
        <v>0</v>
      </c>
      <c r="G102" s="190">
        <v>0</v>
      </c>
      <c r="H102" s="190">
        <v>0</v>
      </c>
      <c r="I102" s="190"/>
    </row>
    <row r="103" spans="2:9" ht="15.75">
      <c r="B103" s="186" t="s">
        <v>365</v>
      </c>
      <c r="D103" s="171"/>
      <c r="E103" s="168"/>
      <c r="F103" s="190"/>
      <c r="G103" s="190"/>
      <c r="H103" s="190"/>
      <c r="I103" s="190"/>
    </row>
    <row r="104" spans="2:9" ht="15.75">
      <c r="D104" s="171">
        <v>5165</v>
      </c>
      <c r="E104" s="168" t="s">
        <v>271</v>
      </c>
      <c r="F104" s="190">
        <v>0</v>
      </c>
      <c r="G104" s="190">
        <v>0</v>
      </c>
      <c r="H104" s="190">
        <v>0</v>
      </c>
      <c r="I104" s="190"/>
    </row>
    <row r="105" spans="2:9" ht="15.75">
      <c r="B105" s="186" t="s">
        <v>366</v>
      </c>
      <c r="D105" s="171"/>
      <c r="E105" s="168"/>
      <c r="F105" s="190"/>
      <c r="G105" s="190"/>
      <c r="H105" s="190"/>
      <c r="I105" s="190"/>
    </row>
    <row r="106" spans="2:9" ht="15.75">
      <c r="D106" s="171">
        <v>5170</v>
      </c>
      <c r="E106" s="168" t="s">
        <v>272</v>
      </c>
      <c r="F106" s="190">
        <v>0</v>
      </c>
      <c r="G106" s="190">
        <v>0</v>
      </c>
      <c r="H106" s="190">
        <v>0</v>
      </c>
      <c r="I106" s="190"/>
    </row>
    <row r="107" spans="2:9">
      <c r="B107" s="186" t="s">
        <v>342</v>
      </c>
      <c r="F107" s="190"/>
      <c r="G107" s="190"/>
      <c r="H107" s="190"/>
      <c r="I107" s="190"/>
    </row>
    <row r="108" spans="2:9" ht="15.75">
      <c r="D108" s="171">
        <v>5125</v>
      </c>
      <c r="E108" s="168" t="s">
        <v>146</v>
      </c>
      <c r="F108" s="190">
        <v>0</v>
      </c>
      <c r="G108" s="190">
        <v>0</v>
      </c>
      <c r="H108" s="190">
        <v>0</v>
      </c>
      <c r="I108" s="190"/>
    </row>
    <row r="109" spans="2:9" ht="15.75">
      <c r="D109" s="171">
        <v>5130</v>
      </c>
      <c r="E109" s="168" t="s">
        <v>147</v>
      </c>
      <c r="F109" s="190">
        <v>0</v>
      </c>
      <c r="G109" s="190">
        <v>0</v>
      </c>
      <c r="H109" s="190">
        <v>0</v>
      </c>
      <c r="I109" s="190"/>
    </row>
    <row r="110" spans="2:9" ht="15.75">
      <c r="D110" s="171">
        <v>5135</v>
      </c>
      <c r="E110" s="168" t="s">
        <v>148</v>
      </c>
      <c r="F110" s="190">
        <v>0</v>
      </c>
      <c r="G110" s="190">
        <v>0</v>
      </c>
      <c r="H110" s="190">
        <v>0</v>
      </c>
      <c r="I110" s="190"/>
    </row>
    <row r="111" spans="2:9" ht="15.75">
      <c r="D111" s="171">
        <v>5140</v>
      </c>
      <c r="E111" s="168" t="s">
        <v>269</v>
      </c>
      <c r="F111" s="190">
        <v>0</v>
      </c>
      <c r="G111" s="190">
        <v>0</v>
      </c>
      <c r="H111" s="190">
        <v>0</v>
      </c>
      <c r="I111" s="190"/>
    </row>
    <row r="112" spans="2:9" ht="15.75">
      <c r="B112" s="186" t="s">
        <v>344</v>
      </c>
      <c r="D112" s="171"/>
      <c r="E112" s="168"/>
      <c r="F112" s="190"/>
      <c r="G112" s="190"/>
      <c r="H112" s="190"/>
      <c r="I112" s="190"/>
    </row>
    <row r="113" spans="2:9" ht="15.75">
      <c r="D113" s="171">
        <v>5155</v>
      </c>
      <c r="E113" s="168" t="s">
        <v>149</v>
      </c>
      <c r="F113" s="190">
        <v>0</v>
      </c>
      <c r="G113" s="190">
        <v>0</v>
      </c>
      <c r="H113" s="190">
        <v>0</v>
      </c>
      <c r="I113" s="190"/>
    </row>
    <row r="114" spans="2:9">
      <c r="B114" s="186" t="s">
        <v>343</v>
      </c>
      <c r="F114" s="190"/>
      <c r="G114" s="190"/>
      <c r="H114" s="190"/>
      <c r="I114" s="190"/>
    </row>
    <row r="115" spans="2:9" ht="15.75">
      <c r="D115" s="171">
        <v>5150</v>
      </c>
      <c r="E115" s="168" t="s">
        <v>2</v>
      </c>
      <c r="F115" s="190">
        <v>0</v>
      </c>
      <c r="G115" s="190">
        <v>0</v>
      </c>
      <c r="H115" s="190">
        <v>0</v>
      </c>
      <c r="I115" s="190"/>
    </row>
    <row r="116" spans="2:9" ht="15.75">
      <c r="D116" s="171">
        <v>5175</v>
      </c>
      <c r="E116" s="168" t="s">
        <v>58</v>
      </c>
      <c r="F116" s="190">
        <v>0</v>
      </c>
      <c r="G116" s="190">
        <v>0</v>
      </c>
      <c r="H116" s="190">
        <v>0</v>
      </c>
      <c r="I116" s="190"/>
    </row>
    <row r="117" spans="2:9" ht="15.75">
      <c r="D117" s="171">
        <v>5180</v>
      </c>
      <c r="E117" s="168" t="s">
        <v>0</v>
      </c>
      <c r="F117" s="190">
        <v>0</v>
      </c>
      <c r="G117" s="190">
        <v>0</v>
      </c>
      <c r="H117" s="190">
        <v>0</v>
      </c>
      <c r="I117" s="190"/>
    </row>
    <row r="118" spans="2:9" ht="15.75">
      <c r="D118" s="171">
        <v>5185</v>
      </c>
      <c r="E118" s="168" t="s">
        <v>1</v>
      </c>
      <c r="F118" s="190">
        <v>0</v>
      </c>
      <c r="G118" s="190">
        <v>0</v>
      </c>
      <c r="H118" s="190">
        <v>0</v>
      </c>
      <c r="I118" s="190"/>
    </row>
    <row r="119" spans="2:9">
      <c r="B119" s="186" t="s">
        <v>345</v>
      </c>
      <c r="F119" s="190"/>
      <c r="G119" s="190"/>
      <c r="H119" s="190"/>
      <c r="I119" s="190"/>
    </row>
    <row r="120" spans="2:9" ht="15.75">
      <c r="D120" s="171">
        <v>5172</v>
      </c>
      <c r="E120" s="168" t="s">
        <v>150</v>
      </c>
      <c r="F120" s="190">
        <v>0</v>
      </c>
      <c r="G120" s="190">
        <v>0</v>
      </c>
      <c r="H120" s="190">
        <v>0</v>
      </c>
      <c r="I120" s="190"/>
    </row>
    <row r="121" spans="2:9">
      <c r="B121" s="186" t="s">
        <v>346</v>
      </c>
      <c r="F121" s="190"/>
      <c r="G121" s="190"/>
      <c r="H121" s="190"/>
      <c r="I121" s="190"/>
    </row>
    <row r="122" spans="2:9" ht="15.75">
      <c r="D122" s="171">
        <v>5182</v>
      </c>
      <c r="E122" s="168" t="s">
        <v>43</v>
      </c>
      <c r="F122" s="190">
        <v>0</v>
      </c>
      <c r="G122" s="190">
        <v>0</v>
      </c>
      <c r="H122" s="190">
        <v>0</v>
      </c>
      <c r="I122" s="190"/>
    </row>
    <row r="123" spans="2:9">
      <c r="B123" s="186" t="s">
        <v>347</v>
      </c>
      <c r="F123" s="190"/>
      <c r="G123" s="190"/>
      <c r="H123" s="190"/>
      <c r="I123" s="190"/>
    </row>
    <row r="124" spans="2:9" ht="15.75">
      <c r="D124" s="171">
        <v>5190</v>
      </c>
      <c r="E124" s="168" t="s">
        <v>273</v>
      </c>
      <c r="F124" s="190">
        <v>0</v>
      </c>
      <c r="G124" s="190">
        <v>0</v>
      </c>
      <c r="H124" s="190">
        <v>0</v>
      </c>
      <c r="I124" s="190"/>
    </row>
    <row r="125" spans="2:9">
      <c r="B125" s="186" t="s">
        <v>348</v>
      </c>
      <c r="F125" s="190"/>
      <c r="G125" s="190"/>
      <c r="H125" s="190"/>
      <c r="I125" s="190"/>
    </row>
    <row r="126" spans="2:9" ht="15.75">
      <c r="D126" s="171">
        <v>5195</v>
      </c>
      <c r="E126" s="168" t="s">
        <v>151</v>
      </c>
      <c r="F126" s="190">
        <v>0</v>
      </c>
      <c r="G126" s="190">
        <v>0</v>
      </c>
      <c r="H126" s="190">
        <v>0</v>
      </c>
      <c r="I126" s="190"/>
    </row>
    <row r="127" spans="2:9">
      <c r="E127" s="185" t="s">
        <v>362</v>
      </c>
      <c r="F127" s="204">
        <f>SUM(F102:F126)</f>
        <v>0</v>
      </c>
      <c r="G127" s="204">
        <f t="shared" ref="G127:H127" si="4">SUM(G102:G126)</f>
        <v>0</v>
      </c>
      <c r="H127" s="204">
        <f t="shared" si="4"/>
        <v>0</v>
      </c>
      <c r="I127" s="190"/>
    </row>
    <row r="128" spans="2:9">
      <c r="F128" s="190"/>
      <c r="G128" s="190"/>
      <c r="H128" s="190"/>
      <c r="I128" s="190"/>
    </row>
    <row r="129" spans="1:9">
      <c r="E129" s="185" t="s">
        <v>350</v>
      </c>
      <c r="F129" s="207">
        <f>F99+F127</f>
        <v>0</v>
      </c>
      <c r="G129" s="207">
        <f t="shared" ref="G129:H129" si="5">G99+G127</f>
        <v>0</v>
      </c>
      <c r="H129" s="207">
        <f t="shared" si="5"/>
        <v>0</v>
      </c>
      <c r="I129" s="190"/>
    </row>
    <row r="130" spans="1:9">
      <c r="F130" s="190"/>
      <c r="G130" s="190"/>
      <c r="H130" s="190"/>
      <c r="I130" s="190"/>
    </row>
    <row r="131" spans="1:9">
      <c r="E131" s="185" t="s">
        <v>351</v>
      </c>
      <c r="F131" s="206">
        <f>F79-F129</f>
        <v>0</v>
      </c>
      <c r="G131" s="206">
        <f t="shared" ref="G131:H131" si="6">G79-G129</f>
        <v>0</v>
      </c>
      <c r="H131" s="206">
        <f t="shared" si="6"/>
        <v>0</v>
      </c>
      <c r="I131" s="190"/>
    </row>
    <row r="132" spans="1:9">
      <c r="F132" s="190"/>
      <c r="G132" s="190"/>
      <c r="H132" s="190"/>
      <c r="I132" s="190"/>
    </row>
    <row r="133" spans="1:9">
      <c r="A133" s="185" t="s">
        <v>353</v>
      </c>
      <c r="B133" s="185"/>
      <c r="C133" s="185"/>
      <c r="D133" s="185"/>
      <c r="F133" s="190"/>
      <c r="G133" s="190"/>
      <c r="H133" s="190"/>
      <c r="I133" s="190"/>
    </row>
    <row r="134" spans="1:9">
      <c r="F134" s="190"/>
      <c r="G134" s="190"/>
      <c r="H134" s="190"/>
      <c r="I134" s="190"/>
    </row>
    <row r="135" spans="1:9">
      <c r="B135" s="186" t="s">
        <v>354</v>
      </c>
      <c r="F135" s="190"/>
      <c r="G135" s="190"/>
      <c r="H135" s="190"/>
      <c r="I135" s="190"/>
    </row>
    <row r="136" spans="1:9" ht="15.75">
      <c r="D136" s="171">
        <v>6051</v>
      </c>
      <c r="E136" s="168" t="s">
        <v>233</v>
      </c>
      <c r="F136" s="190">
        <v>0</v>
      </c>
      <c r="G136" s="190">
        <v>0</v>
      </c>
      <c r="H136" s="190">
        <v>0</v>
      </c>
      <c r="I136" s="190"/>
    </row>
    <row r="137" spans="1:9" ht="15.75">
      <c r="D137" s="171">
        <v>6054</v>
      </c>
      <c r="E137" s="168" t="s">
        <v>234</v>
      </c>
      <c r="F137" s="190">
        <v>0</v>
      </c>
      <c r="G137" s="190">
        <v>0</v>
      </c>
      <c r="H137" s="190">
        <v>0</v>
      </c>
      <c r="I137" s="190"/>
    </row>
    <row r="138" spans="1:9" ht="15.75">
      <c r="D138" s="171">
        <v>6057</v>
      </c>
      <c r="E138" s="168" t="s">
        <v>235</v>
      </c>
      <c r="F138" s="190">
        <v>0</v>
      </c>
      <c r="G138" s="190">
        <v>0</v>
      </c>
      <c r="H138" s="190">
        <v>0</v>
      </c>
      <c r="I138" s="190"/>
    </row>
    <row r="139" spans="1:9">
      <c r="B139" s="186" t="s">
        <v>342</v>
      </c>
      <c r="F139" s="190"/>
      <c r="G139" s="190"/>
      <c r="H139" s="190"/>
      <c r="I139" s="190"/>
    </row>
    <row r="140" spans="1:9" ht="15.75">
      <c r="D140" s="171">
        <v>6024</v>
      </c>
      <c r="E140" s="168" t="s">
        <v>225</v>
      </c>
      <c r="F140" s="190">
        <v>0</v>
      </c>
      <c r="G140" s="190">
        <v>0</v>
      </c>
      <c r="H140" s="190">
        <v>0</v>
      </c>
      <c r="I140" s="190"/>
    </row>
    <row r="141" spans="1:9" ht="15.75">
      <c r="D141" s="171">
        <v>6027</v>
      </c>
      <c r="E141" s="168" t="s">
        <v>226</v>
      </c>
      <c r="F141" s="190">
        <v>0</v>
      </c>
      <c r="G141" s="190">
        <v>0</v>
      </c>
      <c r="H141" s="190">
        <v>0</v>
      </c>
      <c r="I141" s="190"/>
    </row>
    <row r="142" spans="1:9" ht="15.75">
      <c r="D142" s="171">
        <v>6030</v>
      </c>
      <c r="E142" s="168" t="s">
        <v>227</v>
      </c>
      <c r="F142" s="190">
        <v>0</v>
      </c>
      <c r="G142" s="190">
        <v>0</v>
      </c>
      <c r="H142" s="190">
        <v>0</v>
      </c>
      <c r="I142" s="190"/>
    </row>
    <row r="143" spans="1:9" ht="15.75">
      <c r="D143" s="171">
        <v>6033</v>
      </c>
      <c r="E143" s="168" t="s">
        <v>228</v>
      </c>
      <c r="F143" s="190">
        <v>0</v>
      </c>
      <c r="G143" s="190">
        <v>0</v>
      </c>
      <c r="H143" s="190">
        <v>0</v>
      </c>
      <c r="I143" s="190"/>
    </row>
    <row r="144" spans="1:9">
      <c r="B144" s="186" t="s">
        <v>357</v>
      </c>
      <c r="F144" s="190"/>
      <c r="G144" s="190"/>
      <c r="H144" s="190"/>
      <c r="I144" s="190"/>
    </row>
    <row r="145" spans="4:9" ht="15.75">
      <c r="D145" s="171">
        <v>6000</v>
      </c>
      <c r="E145" s="168" t="s">
        <v>217</v>
      </c>
      <c r="F145" s="190">
        <v>0</v>
      </c>
      <c r="G145" s="190">
        <v>0</v>
      </c>
      <c r="H145" s="190">
        <v>0</v>
      </c>
      <c r="I145" s="190"/>
    </row>
    <row r="146" spans="4:9" ht="15.75">
      <c r="D146" s="171">
        <v>6003</v>
      </c>
      <c r="E146" s="168" t="s">
        <v>218</v>
      </c>
      <c r="F146" s="190">
        <v>0</v>
      </c>
      <c r="G146" s="190">
        <v>0</v>
      </c>
      <c r="H146" s="190">
        <v>0</v>
      </c>
      <c r="I146" s="190"/>
    </row>
    <row r="147" spans="4:9" ht="15.75">
      <c r="D147" s="171">
        <v>6006</v>
      </c>
      <c r="E147" s="168" t="s">
        <v>219</v>
      </c>
      <c r="F147" s="190">
        <v>0</v>
      </c>
      <c r="G147" s="190">
        <v>0</v>
      </c>
      <c r="H147" s="190">
        <v>0</v>
      </c>
      <c r="I147" s="190"/>
    </row>
    <row r="148" spans="4:9" ht="15.75">
      <c r="D148" s="171">
        <v>6009</v>
      </c>
      <c r="E148" s="168" t="s">
        <v>220</v>
      </c>
      <c r="F148" s="190">
        <v>0</v>
      </c>
      <c r="G148" s="190">
        <v>0</v>
      </c>
      <c r="H148" s="190">
        <v>0</v>
      </c>
      <c r="I148" s="190"/>
    </row>
    <row r="149" spans="4:9" ht="15.75">
      <c r="D149" s="171">
        <v>6012</v>
      </c>
      <c r="E149" s="168" t="s">
        <v>221</v>
      </c>
      <c r="F149" s="190">
        <v>0</v>
      </c>
      <c r="G149" s="190">
        <v>0</v>
      </c>
      <c r="H149" s="190">
        <v>0</v>
      </c>
      <c r="I149" s="190"/>
    </row>
    <row r="150" spans="4:9" ht="15.75">
      <c r="D150" s="171">
        <v>6015</v>
      </c>
      <c r="E150" s="168" t="s">
        <v>222</v>
      </c>
      <c r="F150" s="190">
        <v>0</v>
      </c>
      <c r="G150" s="190">
        <v>0</v>
      </c>
      <c r="H150" s="190">
        <v>0</v>
      </c>
      <c r="I150" s="190"/>
    </row>
    <row r="151" spans="4:9" ht="15.75">
      <c r="D151" s="171">
        <v>6018</v>
      </c>
      <c r="E151" s="168" t="s">
        <v>223</v>
      </c>
      <c r="F151" s="190">
        <v>0</v>
      </c>
      <c r="G151" s="190">
        <v>0</v>
      </c>
      <c r="H151" s="190">
        <v>0</v>
      </c>
      <c r="I151" s="190"/>
    </row>
    <row r="152" spans="4:9" ht="15.75">
      <c r="D152" s="171">
        <v>6021</v>
      </c>
      <c r="E152" s="168" t="s">
        <v>224</v>
      </c>
      <c r="F152" s="190">
        <v>0</v>
      </c>
      <c r="G152" s="190">
        <v>0</v>
      </c>
      <c r="H152" s="190">
        <v>0</v>
      </c>
      <c r="I152" s="190"/>
    </row>
    <row r="153" spans="4:9" ht="15.75">
      <c r="D153" s="171">
        <v>6036</v>
      </c>
      <c r="E153" s="168" t="s">
        <v>274</v>
      </c>
      <c r="F153" s="190">
        <v>0</v>
      </c>
      <c r="G153" s="190">
        <v>0</v>
      </c>
      <c r="H153" s="190">
        <v>0</v>
      </c>
      <c r="I153" s="190"/>
    </row>
    <row r="154" spans="4:9" ht="15.75">
      <c r="D154" s="171">
        <v>6039</v>
      </c>
      <c r="E154" s="168" t="s">
        <v>229</v>
      </c>
      <c r="F154" s="190">
        <v>0</v>
      </c>
      <c r="G154" s="190">
        <v>0</v>
      </c>
      <c r="H154" s="190">
        <v>0</v>
      </c>
      <c r="I154" s="190"/>
    </row>
    <row r="155" spans="4:9" ht="15.75">
      <c r="D155" s="171">
        <v>6042</v>
      </c>
      <c r="E155" s="168" t="s">
        <v>230</v>
      </c>
      <c r="F155" s="190">
        <v>0</v>
      </c>
      <c r="G155" s="190">
        <v>0</v>
      </c>
      <c r="H155" s="190">
        <v>0</v>
      </c>
      <c r="I155" s="190"/>
    </row>
    <row r="156" spans="4:9" ht="15.75">
      <c r="D156" s="171">
        <v>6045</v>
      </c>
      <c r="E156" s="168" t="s">
        <v>231</v>
      </c>
      <c r="F156" s="190">
        <v>0</v>
      </c>
      <c r="G156" s="190">
        <v>0</v>
      </c>
      <c r="H156" s="190">
        <v>0</v>
      </c>
      <c r="I156" s="190"/>
    </row>
    <row r="157" spans="4:9" ht="15.75">
      <c r="D157" s="171">
        <v>6048</v>
      </c>
      <c r="E157" s="168" t="s">
        <v>232</v>
      </c>
      <c r="F157" s="190">
        <v>0</v>
      </c>
      <c r="G157" s="190">
        <v>0</v>
      </c>
      <c r="H157" s="190">
        <v>0</v>
      </c>
      <c r="I157" s="190"/>
    </row>
    <row r="158" spans="4:9" ht="15.75">
      <c r="D158" s="171">
        <v>6060</v>
      </c>
      <c r="E158" s="168" t="s">
        <v>236</v>
      </c>
      <c r="F158" s="190">
        <v>0</v>
      </c>
      <c r="G158" s="190">
        <v>0</v>
      </c>
      <c r="H158" s="190">
        <v>0</v>
      </c>
      <c r="I158" s="190"/>
    </row>
    <row r="159" spans="4:9" ht="15.75">
      <c r="D159" s="171">
        <v>6063</v>
      </c>
      <c r="E159" s="168" t="s">
        <v>237</v>
      </c>
      <c r="F159" s="190">
        <v>0</v>
      </c>
      <c r="G159" s="190">
        <v>0</v>
      </c>
      <c r="H159" s="190">
        <v>0</v>
      </c>
      <c r="I159" s="190"/>
    </row>
    <row r="160" spans="4:9" ht="15.75">
      <c r="D160" s="171">
        <v>6066</v>
      </c>
      <c r="E160" s="168" t="s">
        <v>238</v>
      </c>
      <c r="F160" s="190">
        <v>0</v>
      </c>
      <c r="G160" s="190">
        <v>0</v>
      </c>
      <c r="H160" s="190">
        <v>0</v>
      </c>
      <c r="I160" s="190"/>
    </row>
    <row r="161" spans="2:9" ht="15.75">
      <c r="D161" s="171">
        <v>6078</v>
      </c>
      <c r="E161" s="168" t="s">
        <v>242</v>
      </c>
      <c r="F161" s="190">
        <v>0</v>
      </c>
      <c r="G161" s="190">
        <v>0</v>
      </c>
      <c r="H161" s="190">
        <v>0</v>
      </c>
      <c r="I161" s="190"/>
    </row>
    <row r="162" spans="2:9" ht="15.75">
      <c r="D162" s="171">
        <v>6081</v>
      </c>
      <c r="E162" s="168" t="s">
        <v>243</v>
      </c>
      <c r="F162" s="190">
        <v>0</v>
      </c>
      <c r="G162" s="190">
        <v>0</v>
      </c>
      <c r="H162" s="190">
        <v>0</v>
      </c>
      <c r="I162" s="190"/>
    </row>
    <row r="163" spans="2:9" ht="15.75">
      <c r="D163" s="171">
        <v>6084</v>
      </c>
      <c r="E163" s="168" t="s">
        <v>244</v>
      </c>
      <c r="F163" s="190">
        <v>0</v>
      </c>
      <c r="G163" s="190">
        <v>0</v>
      </c>
      <c r="H163" s="190">
        <v>0</v>
      </c>
      <c r="I163" s="190"/>
    </row>
    <row r="164" spans="2:9" ht="15.75">
      <c r="D164" s="171">
        <v>6087</v>
      </c>
      <c r="E164" s="168" t="s">
        <v>245</v>
      </c>
      <c r="F164" s="190">
        <v>0</v>
      </c>
      <c r="G164" s="190">
        <v>0</v>
      </c>
      <c r="H164" s="190">
        <v>0</v>
      </c>
      <c r="I164" s="190"/>
    </row>
    <row r="165" spans="2:9">
      <c r="B165" s="186" t="s">
        <v>358</v>
      </c>
      <c r="F165" s="190"/>
      <c r="G165" s="190"/>
      <c r="H165" s="190"/>
      <c r="I165" s="190"/>
    </row>
    <row r="166" spans="2:9" ht="15.75">
      <c r="D166" s="171">
        <v>9050</v>
      </c>
      <c r="E166" s="171" t="s">
        <v>213</v>
      </c>
      <c r="F166" s="190">
        <v>0</v>
      </c>
      <c r="G166" s="190">
        <v>0</v>
      </c>
      <c r="H166" s="190">
        <v>0</v>
      </c>
      <c r="I166" s="190"/>
    </row>
    <row r="167" spans="2:9" ht="15.75">
      <c r="D167" s="171">
        <v>9055</v>
      </c>
      <c r="E167" s="171" t="s">
        <v>248</v>
      </c>
      <c r="F167" s="190">
        <v>0</v>
      </c>
      <c r="G167" s="190">
        <v>0</v>
      </c>
      <c r="H167" s="190">
        <v>0</v>
      </c>
      <c r="I167" s="190"/>
    </row>
    <row r="168" spans="2:9">
      <c r="B168" s="186" t="s">
        <v>247</v>
      </c>
      <c r="F168" s="190"/>
      <c r="G168" s="190"/>
      <c r="H168" s="190"/>
      <c r="I168" s="190"/>
    </row>
    <row r="169" spans="2:9" ht="15.75">
      <c r="D169" s="171" t="s">
        <v>246</v>
      </c>
      <c r="E169" s="168" t="s">
        <v>247</v>
      </c>
      <c r="F169" s="190">
        <v>0</v>
      </c>
      <c r="G169" s="190">
        <v>0</v>
      </c>
      <c r="H169" s="190">
        <v>0</v>
      </c>
      <c r="I169" s="190"/>
    </row>
    <row r="170" spans="2:9">
      <c r="B170" s="186" t="s">
        <v>356</v>
      </c>
      <c r="F170" s="190"/>
      <c r="G170" s="190"/>
      <c r="H170" s="190"/>
      <c r="I170" s="190"/>
    </row>
    <row r="171" spans="2:9" ht="15.75">
      <c r="D171" s="171">
        <v>8010</v>
      </c>
      <c r="E171" s="168" t="s">
        <v>250</v>
      </c>
      <c r="F171" s="190">
        <v>0</v>
      </c>
      <c r="G171" s="190">
        <v>0</v>
      </c>
      <c r="H171" s="190">
        <v>0</v>
      </c>
      <c r="I171" s="190"/>
    </row>
    <row r="172" spans="2:9" ht="15.75">
      <c r="D172" s="171">
        <v>8015</v>
      </c>
      <c r="E172" s="168" t="s">
        <v>251</v>
      </c>
      <c r="F172" s="190">
        <v>0</v>
      </c>
      <c r="G172" s="190">
        <v>0</v>
      </c>
      <c r="H172" s="190">
        <v>0</v>
      </c>
      <c r="I172" s="190"/>
    </row>
    <row r="173" spans="2:9" ht="15.75">
      <c r="D173" s="171">
        <v>8020</v>
      </c>
      <c r="E173" s="168" t="s">
        <v>252</v>
      </c>
      <c r="F173" s="190">
        <v>0</v>
      </c>
      <c r="G173" s="190">
        <v>0</v>
      </c>
      <c r="H173" s="190">
        <v>0</v>
      </c>
      <c r="I173" s="190"/>
    </row>
    <row r="174" spans="2:9" ht="15.75">
      <c r="D174" s="171">
        <v>8025</v>
      </c>
      <c r="E174" s="168" t="s">
        <v>253</v>
      </c>
      <c r="F174" s="190">
        <v>0</v>
      </c>
      <c r="G174" s="190">
        <v>0</v>
      </c>
      <c r="H174" s="190">
        <v>0</v>
      </c>
      <c r="I174" s="190"/>
    </row>
    <row r="175" spans="2:9" ht="15.75">
      <c r="D175" s="171">
        <v>8030</v>
      </c>
      <c r="E175" s="168" t="s">
        <v>254</v>
      </c>
      <c r="F175" s="190">
        <v>0</v>
      </c>
      <c r="G175" s="190">
        <v>0</v>
      </c>
      <c r="H175" s="190">
        <v>0</v>
      </c>
      <c r="I175" s="190"/>
    </row>
    <row r="176" spans="2:9" ht="15.75">
      <c r="B176" s="186" t="s">
        <v>355</v>
      </c>
      <c r="D176" s="171"/>
      <c r="E176" s="168"/>
      <c r="F176" s="190">
        <v>0</v>
      </c>
      <c r="G176" s="190">
        <v>0</v>
      </c>
      <c r="H176" s="190">
        <v>0</v>
      </c>
      <c r="I176" s="190"/>
    </row>
    <row r="177" spans="4:9" ht="15.75">
      <c r="D177" s="171">
        <v>6069</v>
      </c>
      <c r="E177" s="168" t="s">
        <v>239</v>
      </c>
      <c r="F177" s="190">
        <v>0</v>
      </c>
      <c r="G177" s="190">
        <v>0</v>
      </c>
      <c r="H177" s="190">
        <v>0</v>
      </c>
      <c r="I177" s="190"/>
    </row>
    <row r="178" spans="4:9" ht="15.75">
      <c r="D178" s="171">
        <v>6072</v>
      </c>
      <c r="E178" s="168" t="s">
        <v>240</v>
      </c>
      <c r="F178" s="190">
        <v>0</v>
      </c>
      <c r="G178" s="190">
        <v>0</v>
      </c>
      <c r="H178" s="190">
        <v>0</v>
      </c>
      <c r="I178" s="190"/>
    </row>
    <row r="179" spans="4:9" ht="15.75">
      <c r="D179" s="171">
        <v>6075</v>
      </c>
      <c r="E179" s="168" t="s">
        <v>241</v>
      </c>
      <c r="F179" s="190">
        <v>0</v>
      </c>
      <c r="G179" s="190">
        <v>0</v>
      </c>
      <c r="H179" s="190">
        <v>0</v>
      </c>
      <c r="I179" s="190"/>
    </row>
    <row r="180" spans="4:9" ht="15.75">
      <c r="D180" s="171">
        <v>8005</v>
      </c>
      <c r="E180" s="168" t="s">
        <v>249</v>
      </c>
      <c r="I180" s="190"/>
    </row>
    <row r="181" spans="4:9">
      <c r="E181" s="185" t="s">
        <v>359</v>
      </c>
      <c r="F181" s="204">
        <f>SUM(F136:F179)</f>
        <v>0</v>
      </c>
      <c r="G181" s="204">
        <f>SUM(G136:G179)</f>
        <v>0</v>
      </c>
      <c r="H181" s="204">
        <f>SUM(H136:H179)</f>
        <v>0</v>
      </c>
      <c r="I181" s="190"/>
    </row>
    <row r="182" spans="4:9">
      <c r="F182" s="190"/>
      <c r="G182" s="190"/>
      <c r="H182" s="190"/>
      <c r="I182" s="190"/>
    </row>
    <row r="183" spans="4:9" ht="15.75" thickBot="1">
      <c r="E183" s="185" t="s">
        <v>360</v>
      </c>
      <c r="F183" s="208">
        <f>F131-F181</f>
        <v>0</v>
      </c>
      <c r="G183" s="208">
        <f>G131-G181</f>
        <v>0</v>
      </c>
      <c r="H183" s="208">
        <f>H131-H181</f>
        <v>0</v>
      </c>
      <c r="I183" s="190"/>
    </row>
    <row r="184" spans="4:9" ht="15.75" thickTop="1">
      <c r="F184" s="190"/>
      <c r="G184" s="190"/>
      <c r="H184" s="190"/>
      <c r="I184" s="190"/>
    </row>
    <row r="185" spans="4:9" ht="15.75" thickBot="1">
      <c r="E185" s="185" t="s">
        <v>361</v>
      </c>
      <c r="F185" s="208">
        <f>F183+SUM(F169:F180)</f>
        <v>0</v>
      </c>
      <c r="G185" s="208">
        <f t="shared" ref="G185:H185" si="7">G183+SUM(G169:G180)</f>
        <v>0</v>
      </c>
      <c r="H185" s="208">
        <f t="shared" si="7"/>
        <v>0</v>
      </c>
      <c r="I185" s="190"/>
    </row>
    <row r="186" spans="4:9" ht="15.75" thickTop="1">
      <c r="F186" s="190"/>
      <c r="G186" s="190"/>
      <c r="H186" s="190"/>
      <c r="I186" s="190"/>
    </row>
    <row r="187" spans="4:9">
      <c r="F187" s="190"/>
      <c r="G187" s="190"/>
      <c r="H187" s="190"/>
      <c r="I187" s="190"/>
    </row>
    <row r="188" spans="4:9">
      <c r="F188" s="190"/>
      <c r="G188" s="190"/>
      <c r="H188" s="190"/>
      <c r="I188" s="190"/>
    </row>
    <row r="189" spans="4:9">
      <c r="F189" s="190"/>
      <c r="G189" s="190"/>
      <c r="H189" s="190"/>
      <c r="I189" s="190"/>
    </row>
    <row r="190" spans="4:9">
      <c r="F190" s="190"/>
      <c r="G190" s="190"/>
      <c r="H190" s="190"/>
      <c r="I190" s="190"/>
    </row>
    <row r="191" spans="4:9">
      <c r="F191" s="190"/>
      <c r="G191" s="190"/>
      <c r="H191" s="190"/>
      <c r="I191" s="190"/>
    </row>
    <row r="192" spans="4:9">
      <c r="F192" s="190"/>
      <c r="G192" s="190"/>
      <c r="H192" s="190"/>
      <c r="I192" s="190"/>
    </row>
    <row r="193" spans="6:9">
      <c r="F193" s="190"/>
      <c r="G193" s="190"/>
      <c r="H193" s="190"/>
      <c r="I193" s="190"/>
    </row>
    <row r="194" spans="6:9">
      <c r="F194" s="190"/>
      <c r="G194" s="190"/>
      <c r="H194" s="190"/>
      <c r="I194" s="190"/>
    </row>
    <row r="195" spans="6:9">
      <c r="F195" s="190"/>
      <c r="G195" s="190"/>
      <c r="H195" s="190"/>
      <c r="I195" s="190"/>
    </row>
    <row r="196" spans="6:9">
      <c r="F196" s="190"/>
      <c r="G196" s="190"/>
      <c r="H196" s="190"/>
      <c r="I196" s="190"/>
    </row>
    <row r="197" spans="6:9">
      <c r="F197" s="190"/>
      <c r="G197" s="190"/>
      <c r="H197" s="190"/>
      <c r="I197" s="190"/>
    </row>
    <row r="198" spans="6:9">
      <c r="F198" s="190"/>
      <c r="G198" s="190"/>
      <c r="H198" s="190"/>
      <c r="I198" s="190"/>
    </row>
    <row r="199" spans="6:9">
      <c r="F199" s="190"/>
      <c r="G199" s="190"/>
      <c r="H199" s="190"/>
      <c r="I199" s="190"/>
    </row>
    <row r="200" spans="6:9">
      <c r="F200" s="190"/>
      <c r="G200" s="190"/>
      <c r="H200" s="190"/>
      <c r="I200" s="190"/>
    </row>
    <row r="201" spans="6:9">
      <c r="F201" s="190"/>
      <c r="G201" s="190"/>
      <c r="H201" s="190"/>
      <c r="I201" s="190"/>
    </row>
    <row r="202" spans="6:9">
      <c r="F202" s="190"/>
      <c r="G202" s="190"/>
      <c r="H202" s="190"/>
      <c r="I202" s="190"/>
    </row>
    <row r="203" spans="6:9">
      <c r="F203" s="190"/>
      <c r="G203" s="190"/>
      <c r="H203" s="190"/>
      <c r="I203" s="190"/>
    </row>
    <row r="204" spans="6:9">
      <c r="F204" s="190"/>
      <c r="G204" s="190"/>
      <c r="H204" s="190"/>
      <c r="I204" s="190"/>
    </row>
    <row r="205" spans="6:9">
      <c r="F205" s="190"/>
      <c r="G205" s="190"/>
      <c r="H205" s="190"/>
      <c r="I205" s="190"/>
    </row>
    <row r="206" spans="6:9">
      <c r="F206" s="190"/>
      <c r="G206" s="190"/>
      <c r="H206" s="190"/>
      <c r="I206" s="190"/>
    </row>
    <row r="207" spans="6:9">
      <c r="F207" s="190"/>
      <c r="G207" s="190"/>
      <c r="H207" s="190"/>
      <c r="I207" s="190"/>
    </row>
    <row r="208" spans="6:9">
      <c r="F208" s="190"/>
      <c r="G208" s="190"/>
      <c r="H208" s="190"/>
      <c r="I208" s="190"/>
    </row>
    <row r="209" spans="6:9">
      <c r="F209" s="190"/>
      <c r="G209" s="190"/>
      <c r="H209" s="190"/>
      <c r="I209" s="190"/>
    </row>
    <row r="210" spans="6:9">
      <c r="F210" s="190"/>
      <c r="G210" s="190"/>
      <c r="H210" s="190"/>
      <c r="I210" s="190"/>
    </row>
    <row r="211" spans="6:9">
      <c r="F211" s="190"/>
      <c r="G211" s="190"/>
      <c r="H211" s="190"/>
      <c r="I211" s="190"/>
    </row>
    <row r="212" spans="6:9">
      <c r="F212" s="190"/>
      <c r="G212" s="190"/>
      <c r="H212" s="190"/>
      <c r="I212" s="190"/>
    </row>
    <row r="213" spans="6:9">
      <c r="F213" s="190"/>
      <c r="G213" s="190"/>
      <c r="H213" s="190"/>
      <c r="I213" s="190"/>
    </row>
    <row r="214" spans="6:9">
      <c r="F214" s="190"/>
      <c r="G214" s="190"/>
      <c r="H214" s="190"/>
      <c r="I214" s="190"/>
    </row>
    <row r="215" spans="6:9">
      <c r="F215" s="190"/>
      <c r="G215" s="190"/>
      <c r="H215" s="190"/>
      <c r="I215" s="190"/>
    </row>
    <row r="216" spans="6:9">
      <c r="F216" s="190"/>
      <c r="G216" s="190"/>
      <c r="H216" s="190"/>
      <c r="I216" s="190"/>
    </row>
    <row r="217" spans="6:9">
      <c r="F217" s="190"/>
      <c r="G217" s="190"/>
      <c r="H217" s="190"/>
      <c r="I217" s="190"/>
    </row>
    <row r="218" spans="6:9">
      <c r="F218" s="190"/>
      <c r="G218" s="190"/>
      <c r="H218" s="190"/>
      <c r="I218" s="190"/>
    </row>
    <row r="219" spans="6:9">
      <c r="F219" s="190"/>
      <c r="G219" s="190"/>
      <c r="H219" s="190"/>
      <c r="I219" s="190"/>
    </row>
    <row r="220" spans="6:9">
      <c r="F220" s="190"/>
      <c r="G220" s="190"/>
      <c r="H220" s="190"/>
      <c r="I220" s="190"/>
    </row>
    <row r="221" spans="6:9">
      <c r="F221" s="190"/>
      <c r="G221" s="190"/>
      <c r="H221" s="190"/>
      <c r="I221" s="190"/>
    </row>
    <row r="222" spans="6:9">
      <c r="F222" s="190"/>
      <c r="G222" s="190"/>
      <c r="H222" s="190"/>
      <c r="I222" s="190"/>
    </row>
    <row r="223" spans="6:9">
      <c r="F223" s="190"/>
      <c r="G223" s="190"/>
      <c r="H223" s="190"/>
      <c r="I223" s="190"/>
    </row>
    <row r="224" spans="6:9">
      <c r="F224" s="190"/>
      <c r="G224" s="190"/>
      <c r="H224" s="190"/>
      <c r="I224" s="190"/>
    </row>
    <row r="225" spans="6:9">
      <c r="F225" s="190"/>
      <c r="G225" s="190"/>
      <c r="H225" s="190"/>
      <c r="I225" s="190"/>
    </row>
    <row r="226" spans="6:9">
      <c r="F226" s="190"/>
      <c r="G226" s="190"/>
      <c r="H226" s="190"/>
      <c r="I226" s="190"/>
    </row>
    <row r="227" spans="6:9">
      <c r="F227" s="190"/>
      <c r="G227" s="190"/>
      <c r="H227" s="190"/>
      <c r="I227" s="190"/>
    </row>
    <row r="228" spans="6:9">
      <c r="F228" s="190"/>
      <c r="G228" s="190"/>
      <c r="H228" s="190"/>
      <c r="I228" s="190"/>
    </row>
    <row r="229" spans="6:9">
      <c r="F229" s="190"/>
      <c r="G229" s="190"/>
      <c r="H229" s="190"/>
      <c r="I229" s="190"/>
    </row>
    <row r="230" spans="6:9">
      <c r="F230" s="190"/>
      <c r="G230" s="190"/>
      <c r="H230" s="190"/>
      <c r="I230" s="190"/>
    </row>
    <row r="231" spans="6:9">
      <c r="F231" s="190"/>
      <c r="G231" s="190"/>
      <c r="H231" s="190"/>
      <c r="I231" s="190"/>
    </row>
    <row r="232" spans="6:9">
      <c r="F232" s="190"/>
      <c r="G232" s="190"/>
      <c r="H232" s="190"/>
      <c r="I232" s="190"/>
    </row>
    <row r="233" spans="6:9">
      <c r="F233" s="190"/>
      <c r="G233" s="190"/>
      <c r="H233" s="190"/>
      <c r="I233" s="190"/>
    </row>
    <row r="234" spans="6:9">
      <c r="F234" s="190"/>
      <c r="G234" s="190"/>
      <c r="H234" s="190"/>
      <c r="I234" s="190"/>
    </row>
  </sheetData>
  <mergeCells count="5">
    <mergeCell ref="A3:D3"/>
    <mergeCell ref="A5:H5"/>
    <mergeCell ref="J3:M3"/>
    <mergeCell ref="J5:Q5"/>
    <mergeCell ref="A66:D66"/>
  </mergeCells>
  <pageMargins left="0.7" right="0.7" top="0.75" bottom="0.75" header="0.3" footer="0.3"/>
  <ignoredErrors>
    <ignoredError sqref="D12 M18 M3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0D419-4D9B-4DE8-A722-06B9CAB2E437}">
  <dimension ref="A1:AG35"/>
  <sheetViews>
    <sheetView topLeftCell="A17" zoomScaleNormal="100" workbookViewId="0">
      <selection activeCell="E13" sqref="E13"/>
    </sheetView>
  </sheetViews>
  <sheetFormatPr defaultColWidth="9.140625" defaultRowHeight="13.5"/>
  <cols>
    <col min="1" max="1" width="3" style="3" bestFit="1" customWidth="1"/>
    <col min="2" max="2" width="10.7109375" style="3" bestFit="1" customWidth="1"/>
    <col min="3" max="3" width="10.140625" style="3" customWidth="1"/>
    <col min="4" max="4" width="14.42578125" style="3" customWidth="1"/>
    <col min="5" max="6" width="9.7109375" style="3" customWidth="1"/>
    <col min="7" max="7" width="13.28515625" style="11" bestFit="1" customWidth="1"/>
    <col min="8" max="8" width="12" style="12" bestFit="1" customWidth="1"/>
    <col min="9" max="9" width="17.5703125" style="12" customWidth="1"/>
    <col min="10" max="10" width="2.140625" style="3" customWidth="1"/>
    <col min="11" max="11" width="16.85546875" style="11" customWidth="1"/>
    <col min="12" max="12" width="16.5703125" style="12" bestFit="1" customWidth="1"/>
    <col min="13" max="13" width="19" style="12" bestFit="1" customWidth="1"/>
    <col min="14" max="14" width="2.42578125" style="3" customWidth="1"/>
    <col min="15" max="15" width="17.5703125" style="12" customWidth="1"/>
    <col min="16" max="17" width="2.28515625" style="12" customWidth="1"/>
    <col min="18" max="19" width="19" style="12" bestFit="1" customWidth="1"/>
    <col min="20" max="20" width="19" style="12" customWidth="1"/>
    <col min="21" max="21" width="15.140625" style="12" customWidth="1"/>
    <col min="22" max="22" width="19" style="12" bestFit="1" customWidth="1"/>
    <col min="23" max="23" width="2.140625" style="12" customWidth="1"/>
    <col min="24" max="24" width="20.7109375" style="12" bestFit="1" customWidth="1"/>
    <col min="25" max="25" width="17.140625" style="12" bestFit="1" customWidth="1"/>
    <col min="26" max="26" width="19" style="12" bestFit="1" customWidth="1"/>
    <col min="27" max="27" width="17.140625" style="12" bestFit="1" customWidth="1"/>
    <col min="28" max="28" width="19" style="12" bestFit="1" customWidth="1"/>
    <col min="29" max="29" width="2.42578125" style="3" customWidth="1"/>
    <col min="30" max="30" width="17.7109375" style="12" customWidth="1"/>
    <col min="31" max="31" width="12.7109375" style="12" bestFit="1" customWidth="1"/>
    <col min="32" max="16384" width="9.140625" style="3"/>
  </cols>
  <sheetData>
    <row r="1" spans="1:33">
      <c r="A1" s="222" t="s">
        <v>139</v>
      </c>
      <c r="B1" s="222"/>
      <c r="C1" s="222"/>
      <c r="D1" s="222"/>
      <c r="E1" s="222"/>
      <c r="F1" s="222"/>
      <c r="G1" s="222"/>
      <c r="H1" s="222"/>
      <c r="I1" s="222"/>
      <c r="K1" s="4" t="s">
        <v>108</v>
      </c>
      <c r="L1" s="5"/>
      <c r="M1" s="5"/>
    </row>
    <row r="2" spans="1:33">
      <c r="A2" s="222"/>
      <c r="B2" s="222"/>
      <c r="C2" s="222"/>
      <c r="D2" s="222"/>
      <c r="E2" s="222"/>
      <c r="F2" s="222"/>
      <c r="G2" s="222"/>
      <c r="H2" s="222"/>
      <c r="I2" s="222"/>
      <c r="K2" s="4" t="s">
        <v>109</v>
      </c>
      <c r="L2" s="5"/>
      <c r="M2" s="5"/>
    </row>
    <row r="3" spans="1:33">
      <c r="A3" s="222"/>
      <c r="B3" s="222"/>
      <c r="C3" s="222"/>
      <c r="D3" s="222"/>
      <c r="E3" s="222"/>
      <c r="F3" s="222"/>
      <c r="G3" s="222"/>
      <c r="H3" s="222"/>
      <c r="I3" s="222"/>
      <c r="K3" s="4" t="s">
        <v>110</v>
      </c>
      <c r="L3" s="5"/>
      <c r="M3" s="5"/>
      <c r="W3" s="56"/>
      <c r="X3" s="3"/>
      <c r="Y3" s="3"/>
      <c r="Z3" s="3"/>
      <c r="AA3" s="3"/>
      <c r="AB3" s="56"/>
    </row>
    <row r="4" spans="1:33">
      <c r="A4" s="222"/>
      <c r="B4" s="222"/>
      <c r="C4" s="222"/>
      <c r="D4" s="222"/>
      <c r="E4" s="222"/>
      <c r="F4" s="222"/>
      <c r="G4" s="222"/>
      <c r="H4" s="222"/>
      <c r="I4" s="222"/>
      <c r="K4" s="57" t="s">
        <v>113</v>
      </c>
      <c r="L4" s="58"/>
      <c r="M4" s="58"/>
      <c r="W4" s="59"/>
      <c r="X4" s="3"/>
      <c r="Y4" s="3"/>
      <c r="Z4" s="3"/>
      <c r="AA4" s="3"/>
      <c r="AB4" s="59"/>
    </row>
    <row r="5" spans="1:33" ht="14.25" thickBot="1">
      <c r="A5" s="10"/>
      <c r="B5" s="10"/>
      <c r="C5" s="10"/>
      <c r="D5" s="10"/>
      <c r="E5" s="10"/>
      <c r="F5" s="10"/>
      <c r="G5" s="10"/>
      <c r="H5" s="10"/>
      <c r="I5" s="10"/>
      <c r="W5" s="59"/>
      <c r="X5" s="120"/>
      <c r="Y5" s="120"/>
      <c r="Z5" s="120"/>
      <c r="AA5" s="120"/>
      <c r="AB5" s="59"/>
    </row>
    <row r="6" spans="1:33">
      <c r="A6" s="223" t="s">
        <v>106</v>
      </c>
      <c r="B6" s="223"/>
      <c r="C6" s="223"/>
      <c r="D6" s="223"/>
      <c r="E6" s="223"/>
      <c r="F6" s="223"/>
      <c r="G6" s="223"/>
      <c r="H6" s="223"/>
      <c r="I6" s="223"/>
      <c r="K6" s="224" t="s">
        <v>107</v>
      </c>
      <c r="L6" s="224"/>
      <c r="M6" s="225" t="s">
        <v>284</v>
      </c>
      <c r="W6" s="59"/>
      <c r="X6" s="120"/>
      <c r="Y6" s="120"/>
      <c r="Z6" s="120"/>
      <c r="AA6" s="120"/>
      <c r="AB6" s="59"/>
    </row>
    <row r="7" spans="1:33" ht="16.5" thickBot="1">
      <c r="A7" s="223"/>
      <c r="B7" s="223"/>
      <c r="C7" s="223"/>
      <c r="D7" s="223"/>
      <c r="E7" s="223"/>
      <c r="F7" s="223"/>
      <c r="G7" s="223"/>
      <c r="H7" s="223"/>
      <c r="I7" s="223"/>
      <c r="K7" s="224"/>
      <c r="L7" s="224"/>
      <c r="M7" s="226"/>
      <c r="W7" s="59"/>
      <c r="X7" s="227" t="s">
        <v>4</v>
      </c>
      <c r="Y7" s="227"/>
      <c r="Z7" s="227"/>
      <c r="AA7" s="227"/>
      <c r="AB7" s="59"/>
    </row>
    <row r="8" spans="1:33" ht="14.25" thickBot="1">
      <c r="A8" s="10"/>
      <c r="B8" s="10"/>
      <c r="C8" s="10"/>
      <c r="D8" s="10"/>
      <c r="E8" s="10"/>
      <c r="F8" s="10"/>
      <c r="G8" s="10"/>
      <c r="H8" s="10"/>
      <c r="I8" s="10"/>
      <c r="W8" s="59"/>
      <c r="X8" s="60">
        <v>160000</v>
      </c>
      <c r="Y8" s="61"/>
      <c r="Z8" s="60">
        <v>15000</v>
      </c>
      <c r="AA8" s="60">
        <v>7000</v>
      </c>
      <c r="AB8" s="59"/>
    </row>
    <row r="9" spans="1:33">
      <c r="G9" s="62"/>
      <c r="H9" s="56"/>
      <c r="I9" s="56"/>
      <c r="K9" s="62"/>
      <c r="L9" s="56"/>
      <c r="M9" s="56"/>
      <c r="O9" s="56"/>
      <c r="P9" s="56"/>
      <c r="Q9" s="56"/>
      <c r="R9" s="56"/>
      <c r="W9" s="56"/>
      <c r="X9" s="63"/>
      <c r="Z9" s="63"/>
      <c r="AB9" s="56"/>
      <c r="AD9" s="64"/>
      <c r="AE9" s="65"/>
    </row>
    <row r="10" spans="1:33" s="15" customFormat="1" ht="15.75">
      <c r="G10" s="66"/>
      <c r="H10" s="67"/>
      <c r="I10" s="67"/>
      <c r="K10" s="217" t="s">
        <v>5</v>
      </c>
      <c r="L10" s="217"/>
      <c r="M10" s="217"/>
      <c r="O10" s="68"/>
      <c r="P10" s="67"/>
      <c r="Q10" s="67"/>
      <c r="R10" s="69"/>
      <c r="S10" s="70"/>
      <c r="T10" s="70"/>
      <c r="U10" s="70"/>
      <c r="V10" s="71"/>
      <c r="W10" s="71"/>
      <c r="X10" s="220" t="s">
        <v>6</v>
      </c>
      <c r="Y10" s="220"/>
      <c r="Z10" s="220"/>
      <c r="AA10" s="220"/>
      <c r="AB10" s="220"/>
      <c r="AD10" s="218" t="s">
        <v>49</v>
      </c>
      <c r="AE10" s="219"/>
    </row>
    <row r="11" spans="1:33" s="15" customFormat="1">
      <c r="G11" s="66"/>
      <c r="H11" s="67"/>
      <c r="I11" s="67" t="s">
        <v>7</v>
      </c>
      <c r="K11" s="66"/>
      <c r="L11" s="67"/>
      <c r="M11" s="67"/>
      <c r="O11" s="67"/>
      <c r="P11" s="67"/>
      <c r="Q11" s="67"/>
      <c r="R11" s="72">
        <v>0.05</v>
      </c>
      <c r="S11" s="73">
        <v>0.03</v>
      </c>
      <c r="T11" s="73"/>
      <c r="U11" s="69"/>
      <c r="V11" s="71"/>
      <c r="W11" s="74"/>
      <c r="X11" s="75">
        <v>6.2E-2</v>
      </c>
      <c r="Y11" s="76">
        <v>1.4500000000000001E-2</v>
      </c>
      <c r="Z11" s="77">
        <v>7.0000000000000007E-2</v>
      </c>
      <c r="AA11" s="77">
        <v>6.0000000000000001E-3</v>
      </c>
      <c r="AB11" s="78"/>
      <c r="AD11" s="79"/>
      <c r="AE11" s="80"/>
    </row>
    <row r="12" spans="1:33" s="15" customFormat="1" ht="17.45" customHeight="1">
      <c r="F12" s="15" t="s">
        <v>278</v>
      </c>
      <c r="G12" s="66" t="s">
        <v>9</v>
      </c>
      <c r="H12" s="67" t="s">
        <v>10</v>
      </c>
      <c r="I12" s="67" t="s">
        <v>11</v>
      </c>
      <c r="K12" s="66"/>
      <c r="L12" s="67"/>
      <c r="M12" s="67" t="s">
        <v>10</v>
      </c>
      <c r="O12" s="67" t="s">
        <v>12</v>
      </c>
      <c r="P12" s="67"/>
      <c r="Q12" s="67"/>
      <c r="R12" s="67" t="s">
        <v>102</v>
      </c>
      <c r="S12" s="71" t="s">
        <v>103</v>
      </c>
      <c r="T12" s="71" t="s">
        <v>145</v>
      </c>
      <c r="U12" s="81" t="s">
        <v>105</v>
      </c>
      <c r="V12" s="71" t="s">
        <v>12</v>
      </c>
      <c r="W12" s="74"/>
      <c r="X12" s="71" t="s">
        <v>13</v>
      </c>
      <c r="Y12" s="71" t="s">
        <v>14</v>
      </c>
      <c r="Z12" s="71" t="s">
        <v>15</v>
      </c>
      <c r="AA12" s="71" t="s">
        <v>15</v>
      </c>
      <c r="AB12" s="71"/>
      <c r="AD12" s="79" t="s">
        <v>16</v>
      </c>
      <c r="AE12" s="80"/>
    </row>
    <row r="13" spans="1:33" s="15" customFormat="1" ht="17.45" customHeight="1">
      <c r="B13" s="221" t="s">
        <v>17</v>
      </c>
      <c r="C13" s="221"/>
      <c r="D13" s="31" t="s">
        <v>140</v>
      </c>
      <c r="E13" s="31" t="s">
        <v>143</v>
      </c>
      <c r="F13" s="31" t="s">
        <v>279</v>
      </c>
      <c r="G13" s="82" t="s">
        <v>18</v>
      </c>
      <c r="H13" s="83" t="s">
        <v>19</v>
      </c>
      <c r="I13" s="83" t="s">
        <v>20</v>
      </c>
      <c r="J13" s="31"/>
      <c r="K13" s="82" t="s">
        <v>21</v>
      </c>
      <c r="L13" s="83" t="s">
        <v>22</v>
      </c>
      <c r="M13" s="83" t="s">
        <v>23</v>
      </c>
      <c r="N13" s="31"/>
      <c r="O13" s="83" t="s">
        <v>20</v>
      </c>
      <c r="P13" s="83"/>
      <c r="Q13" s="83"/>
      <c r="R13" s="83" t="s">
        <v>24</v>
      </c>
      <c r="S13" s="84" t="s">
        <v>24</v>
      </c>
      <c r="T13" s="84" t="s">
        <v>285</v>
      </c>
      <c r="U13" s="85" t="s">
        <v>104</v>
      </c>
      <c r="V13" s="84" t="s">
        <v>26</v>
      </c>
      <c r="W13" s="86"/>
      <c r="X13" s="84" t="s">
        <v>25</v>
      </c>
      <c r="Y13" s="84" t="s">
        <v>25</v>
      </c>
      <c r="Z13" s="84" t="s">
        <v>27</v>
      </c>
      <c r="AA13" s="84" t="s">
        <v>28</v>
      </c>
      <c r="AB13" s="84" t="s">
        <v>29</v>
      </c>
      <c r="AC13" s="28"/>
      <c r="AD13" s="87" t="s">
        <v>20</v>
      </c>
      <c r="AE13" s="88" t="s">
        <v>30</v>
      </c>
    </row>
    <row r="14" spans="1:33">
      <c r="G14" s="62"/>
      <c r="H14" s="56"/>
      <c r="I14" s="56"/>
      <c r="K14" s="62"/>
      <c r="L14" s="56"/>
      <c r="M14" s="56"/>
      <c r="O14" s="56"/>
      <c r="P14" s="56"/>
      <c r="Q14" s="56"/>
      <c r="R14" s="56"/>
      <c r="W14" s="89"/>
      <c r="AD14" s="90"/>
      <c r="AE14" s="91"/>
    </row>
    <row r="15" spans="1:33">
      <c r="A15" s="3">
        <v>1</v>
      </c>
      <c r="B15" s="92" t="s">
        <v>100</v>
      </c>
      <c r="C15" s="92" t="s">
        <v>101</v>
      </c>
      <c r="D15" s="92" t="s">
        <v>141</v>
      </c>
      <c r="E15" s="92" t="s">
        <v>144</v>
      </c>
      <c r="F15" s="92" t="s">
        <v>261</v>
      </c>
      <c r="G15" s="33">
        <f>52*40</f>
        <v>2080</v>
      </c>
      <c r="H15" s="93">
        <v>35</v>
      </c>
      <c r="I15" s="94">
        <f t="shared" ref="I15:I23" si="0">+G15*H15</f>
        <v>72800</v>
      </c>
      <c r="J15" s="95"/>
      <c r="K15" s="35">
        <v>300</v>
      </c>
      <c r="L15" s="94">
        <f t="shared" ref="L15:L23" si="1">+H15*1.5</f>
        <v>52.5</v>
      </c>
      <c r="M15" s="94">
        <f t="shared" ref="M15:M23" si="2">+ROUND(L15*K15,0)</f>
        <v>15750</v>
      </c>
      <c r="N15" s="95"/>
      <c r="O15" s="94">
        <f t="shared" ref="O15:O23" si="3">+I15+M15</f>
        <v>88550</v>
      </c>
      <c r="P15" s="96"/>
      <c r="Q15" s="94"/>
      <c r="R15" s="94">
        <f>+I15*$R$11</f>
        <v>3640</v>
      </c>
      <c r="S15" s="97">
        <f>O15*$S$11</f>
        <v>2656.5</v>
      </c>
      <c r="T15" s="97">
        <v>1500</v>
      </c>
      <c r="U15" s="93"/>
      <c r="V15" s="97">
        <f>SUM(R15:U15)</f>
        <v>7796.5</v>
      </c>
      <c r="W15" s="98"/>
      <c r="X15" s="94">
        <f t="shared" ref="X15:X23" si="4">IF(O15&gt;$X$8,$X$8*$X$11,O15*$X$11)</f>
        <v>5490.1</v>
      </c>
      <c r="Y15" s="97">
        <f t="shared" ref="Y15:Y23" si="5">O15*$Y$11</f>
        <v>1283.9750000000001</v>
      </c>
      <c r="Z15" s="94">
        <f t="shared" ref="Z15:Z23" si="6">IF(O15&gt;$Z$8,$Z$8*$Z$11,O15*$Z$11)</f>
        <v>1050</v>
      </c>
      <c r="AA15" s="94">
        <f t="shared" ref="AA15:AA23" si="7">IF(O15&gt;$AA$8,$AA$8*$AA$11,O15*$AA$11)</f>
        <v>42</v>
      </c>
      <c r="AB15" s="97">
        <f>SUM(X15:AA15)</f>
        <v>7866.0750000000007</v>
      </c>
      <c r="AC15" s="47"/>
      <c r="AD15" s="99">
        <f t="shared" ref="AD15:AD23" si="8">O15+V15+AB15</f>
        <v>104212.575</v>
      </c>
      <c r="AE15" s="100">
        <f t="shared" ref="AE15:AE23" si="9">AD15/(G15+K15)</f>
        <v>43.786796218487396</v>
      </c>
      <c r="AF15" s="101"/>
      <c r="AG15" s="101"/>
    </row>
    <row r="16" spans="1:33">
      <c r="A16" s="3">
        <v>2</v>
      </c>
      <c r="B16" s="92" t="s">
        <v>100</v>
      </c>
      <c r="C16" s="92" t="s">
        <v>101</v>
      </c>
      <c r="D16" s="92" t="s">
        <v>141</v>
      </c>
      <c r="E16" s="92" t="s">
        <v>144</v>
      </c>
      <c r="F16" s="92" t="s">
        <v>261</v>
      </c>
      <c r="G16" s="33">
        <v>2080</v>
      </c>
      <c r="H16" s="38">
        <v>35</v>
      </c>
      <c r="I16" s="40">
        <f t="shared" si="0"/>
        <v>72800</v>
      </c>
      <c r="J16" s="33"/>
      <c r="K16" s="35">
        <v>300</v>
      </c>
      <c r="L16" s="40">
        <f t="shared" si="1"/>
        <v>52.5</v>
      </c>
      <c r="M16" s="40">
        <f t="shared" si="2"/>
        <v>15750</v>
      </c>
      <c r="N16" s="33"/>
      <c r="O16" s="40">
        <f t="shared" si="3"/>
        <v>88550</v>
      </c>
      <c r="P16" s="33"/>
      <c r="Q16" s="40"/>
      <c r="R16" s="40">
        <f>+I16*$R$11</f>
        <v>3640</v>
      </c>
      <c r="S16" s="39">
        <f>O16*$S$11</f>
        <v>2656.5</v>
      </c>
      <c r="T16" s="39">
        <v>1500</v>
      </c>
      <c r="U16" s="38"/>
      <c r="V16" s="39">
        <f>SUM(R16:U16)</f>
        <v>7796.5</v>
      </c>
      <c r="W16" s="102"/>
      <c r="X16" s="40">
        <f t="shared" si="4"/>
        <v>5490.1</v>
      </c>
      <c r="Y16" s="39">
        <f t="shared" si="5"/>
        <v>1283.9750000000001</v>
      </c>
      <c r="Z16" s="40">
        <f t="shared" si="6"/>
        <v>1050</v>
      </c>
      <c r="AA16" s="40">
        <f t="shared" si="7"/>
        <v>42</v>
      </c>
      <c r="AB16" s="39">
        <f>SUM(X16:AA16)</f>
        <v>7866.0750000000007</v>
      </c>
      <c r="AC16" s="39"/>
      <c r="AD16" s="103">
        <f t="shared" si="8"/>
        <v>104212.575</v>
      </c>
      <c r="AE16" s="100">
        <f t="shared" si="9"/>
        <v>43.786796218487396</v>
      </c>
      <c r="AF16" s="101"/>
      <c r="AG16" s="101"/>
    </row>
    <row r="17" spans="1:33">
      <c r="A17" s="3">
        <v>3</v>
      </c>
      <c r="B17" s="92" t="s">
        <v>100</v>
      </c>
      <c r="C17" s="92" t="s">
        <v>101</v>
      </c>
      <c r="D17" s="92" t="s">
        <v>141</v>
      </c>
      <c r="E17" s="92" t="s">
        <v>144</v>
      </c>
      <c r="F17" s="92" t="s">
        <v>261</v>
      </c>
      <c r="G17" s="33">
        <v>2080</v>
      </c>
      <c r="H17" s="38">
        <v>35</v>
      </c>
      <c r="I17" s="40">
        <f t="shared" si="0"/>
        <v>72800</v>
      </c>
      <c r="J17" s="33"/>
      <c r="K17" s="35">
        <v>300</v>
      </c>
      <c r="L17" s="40">
        <f t="shared" si="1"/>
        <v>52.5</v>
      </c>
      <c r="M17" s="40">
        <f t="shared" si="2"/>
        <v>15750</v>
      </c>
      <c r="N17" s="33"/>
      <c r="O17" s="40">
        <f t="shared" si="3"/>
        <v>88550</v>
      </c>
      <c r="P17" s="33"/>
      <c r="Q17" s="40"/>
      <c r="R17" s="40">
        <f t="shared" ref="R17:R23" si="10">+I17*$R$11</f>
        <v>3640</v>
      </c>
      <c r="S17" s="39">
        <f t="shared" ref="S17:S23" si="11">O17*$S$11</f>
        <v>2656.5</v>
      </c>
      <c r="T17" s="39">
        <v>1500</v>
      </c>
      <c r="U17" s="38"/>
      <c r="V17" s="39">
        <f t="shared" ref="V17:V23" si="12">SUM(R17:U17)</f>
        <v>7796.5</v>
      </c>
      <c r="W17" s="102"/>
      <c r="X17" s="40">
        <f t="shared" si="4"/>
        <v>5490.1</v>
      </c>
      <c r="Y17" s="39">
        <f t="shared" si="5"/>
        <v>1283.9750000000001</v>
      </c>
      <c r="Z17" s="40">
        <f t="shared" si="6"/>
        <v>1050</v>
      </c>
      <c r="AA17" s="40">
        <f t="shared" si="7"/>
        <v>42</v>
      </c>
      <c r="AB17" s="39">
        <f t="shared" ref="AB17:AB23" si="13">SUM(X17:AA17)</f>
        <v>7866.0750000000007</v>
      </c>
      <c r="AC17" s="39"/>
      <c r="AD17" s="103">
        <f t="shared" si="8"/>
        <v>104212.575</v>
      </c>
      <c r="AE17" s="100">
        <f t="shared" si="9"/>
        <v>43.786796218487396</v>
      </c>
      <c r="AF17" s="101"/>
      <c r="AG17" s="101"/>
    </row>
    <row r="18" spans="1:33">
      <c r="A18" s="3">
        <v>4</v>
      </c>
      <c r="B18" s="92" t="s">
        <v>100</v>
      </c>
      <c r="C18" s="92" t="s">
        <v>101</v>
      </c>
      <c r="D18" s="92" t="s">
        <v>276</v>
      </c>
      <c r="E18" s="92" t="s">
        <v>144</v>
      </c>
      <c r="F18" s="92" t="s">
        <v>261</v>
      </c>
      <c r="G18" s="33">
        <v>2080</v>
      </c>
      <c r="H18" s="38">
        <v>27</v>
      </c>
      <c r="I18" s="40">
        <f t="shared" si="0"/>
        <v>56160</v>
      </c>
      <c r="J18" s="33"/>
      <c r="K18" s="35">
        <v>250</v>
      </c>
      <c r="L18" s="40">
        <f t="shared" si="1"/>
        <v>40.5</v>
      </c>
      <c r="M18" s="40">
        <f t="shared" si="2"/>
        <v>10125</v>
      </c>
      <c r="N18" s="33"/>
      <c r="O18" s="40">
        <f t="shared" si="3"/>
        <v>66285</v>
      </c>
      <c r="P18" s="33"/>
      <c r="Q18" s="40"/>
      <c r="R18" s="40">
        <f t="shared" si="10"/>
        <v>2808</v>
      </c>
      <c r="S18" s="39">
        <f t="shared" si="11"/>
        <v>1988.55</v>
      </c>
      <c r="T18" s="39"/>
      <c r="U18" s="38"/>
      <c r="V18" s="39">
        <f t="shared" si="12"/>
        <v>4796.55</v>
      </c>
      <c r="W18" s="102"/>
      <c r="X18" s="40">
        <f t="shared" si="4"/>
        <v>4109.67</v>
      </c>
      <c r="Y18" s="39">
        <f t="shared" si="5"/>
        <v>961.13250000000005</v>
      </c>
      <c r="Z18" s="40">
        <f t="shared" si="6"/>
        <v>1050</v>
      </c>
      <c r="AA18" s="40">
        <f t="shared" si="7"/>
        <v>42</v>
      </c>
      <c r="AB18" s="39">
        <f t="shared" si="13"/>
        <v>6162.8024999999998</v>
      </c>
      <c r="AC18" s="39"/>
      <c r="AD18" s="103">
        <f t="shared" si="8"/>
        <v>77244.352500000008</v>
      </c>
      <c r="AE18" s="100">
        <f t="shared" si="9"/>
        <v>33.152082618025752</v>
      </c>
      <c r="AF18" s="101"/>
      <c r="AG18" s="101"/>
    </row>
    <row r="19" spans="1:33">
      <c r="A19" s="3">
        <v>5</v>
      </c>
      <c r="B19" s="92" t="s">
        <v>100</v>
      </c>
      <c r="C19" s="92" t="s">
        <v>101</v>
      </c>
      <c r="D19" s="92" t="s">
        <v>276</v>
      </c>
      <c r="E19" s="92" t="s">
        <v>144</v>
      </c>
      <c r="F19" s="92" t="s">
        <v>261</v>
      </c>
      <c r="G19" s="33">
        <v>2080</v>
      </c>
      <c r="H19" s="38">
        <v>27</v>
      </c>
      <c r="I19" s="40">
        <f t="shared" si="0"/>
        <v>56160</v>
      </c>
      <c r="J19" s="33"/>
      <c r="K19" s="35">
        <v>250</v>
      </c>
      <c r="L19" s="40">
        <f t="shared" si="1"/>
        <v>40.5</v>
      </c>
      <c r="M19" s="40">
        <f t="shared" si="2"/>
        <v>10125</v>
      </c>
      <c r="N19" s="33"/>
      <c r="O19" s="40">
        <f t="shared" si="3"/>
        <v>66285</v>
      </c>
      <c r="P19" s="33"/>
      <c r="Q19" s="40"/>
      <c r="R19" s="40">
        <f t="shared" si="10"/>
        <v>2808</v>
      </c>
      <c r="S19" s="39">
        <f t="shared" si="11"/>
        <v>1988.55</v>
      </c>
      <c r="T19" s="39"/>
      <c r="U19" s="38"/>
      <c r="V19" s="39">
        <f t="shared" si="12"/>
        <v>4796.55</v>
      </c>
      <c r="W19" s="102"/>
      <c r="X19" s="40">
        <f t="shared" si="4"/>
        <v>4109.67</v>
      </c>
      <c r="Y19" s="39">
        <f t="shared" si="5"/>
        <v>961.13250000000005</v>
      </c>
      <c r="Z19" s="40">
        <f t="shared" si="6"/>
        <v>1050</v>
      </c>
      <c r="AA19" s="40">
        <f t="shared" si="7"/>
        <v>42</v>
      </c>
      <c r="AB19" s="39">
        <f t="shared" si="13"/>
        <v>6162.8024999999998</v>
      </c>
      <c r="AC19" s="39"/>
      <c r="AD19" s="103">
        <f t="shared" si="8"/>
        <v>77244.352500000008</v>
      </c>
      <c r="AE19" s="100">
        <f t="shared" si="9"/>
        <v>33.152082618025752</v>
      </c>
      <c r="AF19" s="101"/>
      <c r="AG19" s="101"/>
    </row>
    <row r="20" spans="1:33" ht="14.25" thickBot="1">
      <c r="A20" s="181">
        <v>6</v>
      </c>
      <c r="B20" s="182" t="s">
        <v>100</v>
      </c>
      <c r="C20" s="182" t="s">
        <v>101</v>
      </c>
      <c r="D20" s="182" t="s">
        <v>276</v>
      </c>
      <c r="E20" s="182" t="s">
        <v>144</v>
      </c>
      <c r="F20" s="182" t="s">
        <v>261</v>
      </c>
      <c r="G20" s="33">
        <v>2080</v>
      </c>
      <c r="H20" s="38">
        <v>27</v>
      </c>
      <c r="I20" s="40">
        <f t="shared" si="0"/>
        <v>56160</v>
      </c>
      <c r="J20" s="33"/>
      <c r="K20" s="35">
        <v>250</v>
      </c>
      <c r="L20" s="40">
        <f t="shared" si="1"/>
        <v>40.5</v>
      </c>
      <c r="M20" s="40">
        <f t="shared" si="2"/>
        <v>10125</v>
      </c>
      <c r="N20" s="33"/>
      <c r="O20" s="40">
        <f t="shared" si="3"/>
        <v>66285</v>
      </c>
      <c r="P20" s="33"/>
      <c r="Q20" s="40"/>
      <c r="R20" s="40">
        <f t="shared" si="10"/>
        <v>2808</v>
      </c>
      <c r="S20" s="39">
        <f t="shared" si="11"/>
        <v>1988.55</v>
      </c>
      <c r="T20" s="39"/>
      <c r="U20" s="38"/>
      <c r="V20" s="39">
        <f t="shared" si="12"/>
        <v>4796.55</v>
      </c>
      <c r="W20" s="102"/>
      <c r="X20" s="40">
        <f t="shared" si="4"/>
        <v>4109.67</v>
      </c>
      <c r="Y20" s="39">
        <f t="shared" si="5"/>
        <v>961.13250000000005</v>
      </c>
      <c r="Z20" s="40">
        <f t="shared" si="6"/>
        <v>1050</v>
      </c>
      <c r="AA20" s="40">
        <f t="shared" si="7"/>
        <v>42</v>
      </c>
      <c r="AB20" s="39">
        <f t="shared" si="13"/>
        <v>6162.8024999999998</v>
      </c>
      <c r="AC20" s="39"/>
      <c r="AD20" s="103">
        <f t="shared" si="8"/>
        <v>77244.352500000008</v>
      </c>
      <c r="AE20" s="100">
        <f t="shared" si="9"/>
        <v>33.152082618025752</v>
      </c>
      <c r="AF20" s="101"/>
      <c r="AG20" s="101"/>
    </row>
    <row r="21" spans="1:33">
      <c r="A21" s="3">
        <v>7</v>
      </c>
      <c r="B21" s="92" t="s">
        <v>100</v>
      </c>
      <c r="C21" s="92" t="s">
        <v>101</v>
      </c>
      <c r="D21" s="92" t="s">
        <v>277</v>
      </c>
      <c r="E21" s="92" t="s">
        <v>144</v>
      </c>
      <c r="F21" s="92" t="s">
        <v>279</v>
      </c>
      <c r="G21" s="33">
        <v>2080</v>
      </c>
      <c r="H21" s="38">
        <v>0</v>
      </c>
      <c r="I21" s="40">
        <v>85000</v>
      </c>
      <c r="J21" s="40"/>
      <c r="K21" s="35">
        <v>0</v>
      </c>
      <c r="L21" s="40">
        <f t="shared" si="1"/>
        <v>0</v>
      </c>
      <c r="M21" s="40">
        <f t="shared" si="2"/>
        <v>0</v>
      </c>
      <c r="N21" s="40"/>
      <c r="O21" s="40">
        <f t="shared" si="3"/>
        <v>85000</v>
      </c>
      <c r="P21" s="40"/>
      <c r="Q21" s="40"/>
      <c r="R21" s="40">
        <f t="shared" si="10"/>
        <v>4250</v>
      </c>
      <c r="S21" s="39">
        <f t="shared" si="11"/>
        <v>2550</v>
      </c>
      <c r="T21" s="39">
        <v>1500</v>
      </c>
      <c r="U21" s="38"/>
      <c r="V21" s="39">
        <f t="shared" si="12"/>
        <v>8300</v>
      </c>
      <c r="W21" s="102"/>
      <c r="X21" s="40">
        <f t="shared" si="4"/>
        <v>5270</v>
      </c>
      <c r="Y21" s="39">
        <f t="shared" si="5"/>
        <v>1232.5</v>
      </c>
      <c r="Z21" s="40">
        <f t="shared" si="6"/>
        <v>1050</v>
      </c>
      <c r="AA21" s="40">
        <f t="shared" si="7"/>
        <v>42</v>
      </c>
      <c r="AB21" s="39">
        <f t="shared" si="13"/>
        <v>7594.5</v>
      </c>
      <c r="AC21" s="39"/>
      <c r="AD21" s="103">
        <f t="shared" si="8"/>
        <v>100894.5</v>
      </c>
      <c r="AE21" s="100">
        <f t="shared" si="9"/>
        <v>48.506971153846152</v>
      </c>
      <c r="AF21" s="101"/>
      <c r="AG21" s="101"/>
    </row>
    <row r="22" spans="1:33">
      <c r="A22" s="3">
        <v>8</v>
      </c>
      <c r="B22" s="92" t="s">
        <v>100</v>
      </c>
      <c r="C22" s="92" t="s">
        <v>101</v>
      </c>
      <c r="D22" s="92" t="s">
        <v>275</v>
      </c>
      <c r="E22" s="92" t="s">
        <v>144</v>
      </c>
      <c r="F22" s="92" t="s">
        <v>279</v>
      </c>
      <c r="G22" s="33">
        <v>2080</v>
      </c>
      <c r="H22" s="38">
        <v>25</v>
      </c>
      <c r="I22" s="40">
        <f t="shared" si="0"/>
        <v>52000</v>
      </c>
      <c r="J22" s="40"/>
      <c r="K22" s="35">
        <v>150</v>
      </c>
      <c r="L22" s="40">
        <f t="shared" si="1"/>
        <v>37.5</v>
      </c>
      <c r="M22" s="40">
        <f t="shared" si="2"/>
        <v>5625</v>
      </c>
      <c r="N22" s="40"/>
      <c r="O22" s="40">
        <f t="shared" si="3"/>
        <v>57625</v>
      </c>
      <c r="P22" s="40"/>
      <c r="Q22" s="40"/>
      <c r="R22" s="40">
        <f t="shared" si="10"/>
        <v>2600</v>
      </c>
      <c r="S22" s="39">
        <f t="shared" si="11"/>
        <v>1728.75</v>
      </c>
      <c r="T22" s="39"/>
      <c r="U22" s="38"/>
      <c r="V22" s="39">
        <f t="shared" si="12"/>
        <v>4328.75</v>
      </c>
      <c r="W22" s="102"/>
      <c r="X22" s="40">
        <f t="shared" si="4"/>
        <v>3572.75</v>
      </c>
      <c r="Y22" s="39">
        <f t="shared" si="5"/>
        <v>835.5625</v>
      </c>
      <c r="Z22" s="40">
        <f t="shared" si="6"/>
        <v>1050</v>
      </c>
      <c r="AA22" s="40">
        <f t="shared" si="7"/>
        <v>42</v>
      </c>
      <c r="AB22" s="39">
        <f t="shared" si="13"/>
        <v>5500.3125</v>
      </c>
      <c r="AC22" s="39"/>
      <c r="AD22" s="103">
        <f t="shared" si="8"/>
        <v>67454.0625</v>
      </c>
      <c r="AE22" s="100">
        <f t="shared" si="9"/>
        <v>30.248458520179373</v>
      </c>
      <c r="AF22" s="101"/>
      <c r="AG22" s="101"/>
    </row>
    <row r="23" spans="1:33">
      <c r="A23" s="3">
        <v>9</v>
      </c>
      <c r="B23" s="92" t="s">
        <v>100</v>
      </c>
      <c r="C23" s="92" t="s">
        <v>101</v>
      </c>
      <c r="D23" s="92" t="s">
        <v>142</v>
      </c>
      <c r="E23" s="92" t="s">
        <v>144</v>
      </c>
      <c r="F23" s="92" t="s">
        <v>279</v>
      </c>
      <c r="G23" s="33">
        <v>2080</v>
      </c>
      <c r="H23" s="38">
        <v>30</v>
      </c>
      <c r="I23" s="40">
        <f t="shared" si="0"/>
        <v>62400</v>
      </c>
      <c r="J23" s="40"/>
      <c r="K23" s="35">
        <v>300</v>
      </c>
      <c r="L23" s="40">
        <f t="shared" si="1"/>
        <v>45</v>
      </c>
      <c r="M23" s="40">
        <f t="shared" si="2"/>
        <v>13500</v>
      </c>
      <c r="N23" s="40"/>
      <c r="O23" s="40">
        <f t="shared" si="3"/>
        <v>75900</v>
      </c>
      <c r="P23" s="40"/>
      <c r="Q23" s="40"/>
      <c r="R23" s="40">
        <f t="shared" si="10"/>
        <v>3120</v>
      </c>
      <c r="S23" s="39">
        <f t="shared" si="11"/>
        <v>2277</v>
      </c>
      <c r="T23" s="39"/>
      <c r="U23" s="38"/>
      <c r="V23" s="39">
        <f t="shared" si="12"/>
        <v>5397</v>
      </c>
      <c r="W23" s="102"/>
      <c r="X23" s="40">
        <f t="shared" si="4"/>
        <v>4705.8</v>
      </c>
      <c r="Y23" s="39">
        <f t="shared" si="5"/>
        <v>1100.55</v>
      </c>
      <c r="Z23" s="40">
        <f t="shared" si="6"/>
        <v>1050</v>
      </c>
      <c r="AA23" s="40">
        <f t="shared" si="7"/>
        <v>42</v>
      </c>
      <c r="AB23" s="39">
        <f t="shared" si="13"/>
        <v>6898.35</v>
      </c>
      <c r="AC23" s="39"/>
      <c r="AD23" s="103">
        <f t="shared" si="8"/>
        <v>88195.35</v>
      </c>
      <c r="AE23" s="100">
        <f t="shared" si="9"/>
        <v>37.056869747899164</v>
      </c>
      <c r="AF23" s="101"/>
      <c r="AG23" s="101"/>
    </row>
    <row r="24" spans="1:33">
      <c r="G24" s="104"/>
      <c r="H24" s="94"/>
      <c r="I24" s="105"/>
      <c r="J24" s="47"/>
      <c r="K24" s="104"/>
      <c r="L24" s="94"/>
      <c r="M24" s="105"/>
      <c r="N24" s="47"/>
      <c r="O24" s="105"/>
      <c r="P24" s="94"/>
      <c r="Q24" s="94"/>
      <c r="R24" s="105"/>
      <c r="S24" s="106"/>
      <c r="T24" s="106"/>
      <c r="U24" s="106"/>
      <c r="V24" s="106"/>
      <c r="W24" s="98"/>
      <c r="X24" s="106"/>
      <c r="Y24" s="106"/>
      <c r="Z24" s="106"/>
      <c r="AA24" s="106"/>
      <c r="AB24" s="106"/>
      <c r="AC24" s="47"/>
      <c r="AD24" s="107"/>
      <c r="AE24" s="100"/>
    </row>
    <row r="25" spans="1:33" ht="14.25" thickBot="1">
      <c r="C25" s="3" t="s">
        <v>31</v>
      </c>
      <c r="G25" s="108">
        <f>SUM(G15:G23)</f>
        <v>18720</v>
      </c>
      <c r="H25" s="94"/>
      <c r="I25" s="109">
        <f>SUM(I15:I23)</f>
        <v>586280</v>
      </c>
      <c r="J25" s="47"/>
      <c r="K25" s="108">
        <f>SUM(K15:K23)</f>
        <v>2100</v>
      </c>
      <c r="L25" s="94"/>
      <c r="M25" s="109">
        <f>SUM(M15:M23)</f>
        <v>96750</v>
      </c>
      <c r="N25" s="110"/>
      <c r="O25" s="109">
        <f>SUM(O15:O23)</f>
        <v>683030</v>
      </c>
      <c r="P25" s="94"/>
      <c r="Q25" s="94"/>
      <c r="R25" s="109">
        <f>SUM(R15:R23)</f>
        <v>29314</v>
      </c>
      <c r="S25" s="109">
        <f>SUM(S15:S23)</f>
        <v>20490.899999999998</v>
      </c>
      <c r="T25" s="109">
        <f>SUM(T15:T23)</f>
        <v>6000</v>
      </c>
      <c r="U25" s="109">
        <f>SUM(U15:U23)</f>
        <v>0</v>
      </c>
      <c r="V25" s="111">
        <f>SUM(V15:V23)</f>
        <v>55804.9</v>
      </c>
      <c r="W25" s="112"/>
      <c r="X25" s="109">
        <f>SUM(X15:X23)</f>
        <v>42347.86</v>
      </c>
      <c r="Y25" s="109">
        <f>SUM(Y15:Y23)</f>
        <v>9903.9349999999977</v>
      </c>
      <c r="Z25" s="109">
        <f>SUM(Z15:Z23)</f>
        <v>9450</v>
      </c>
      <c r="AA25" s="109">
        <f>SUM(AA15:AA23)</f>
        <v>378</v>
      </c>
      <c r="AB25" s="111">
        <f>SUM(AB15:AB23)</f>
        <v>62079.794999999998</v>
      </c>
      <c r="AC25" s="47"/>
      <c r="AD25" s="113">
        <f>SUM(AD15:AD23)</f>
        <v>800914.69500000007</v>
      </c>
      <c r="AE25" s="114"/>
    </row>
    <row r="26" spans="1:33" ht="15" thickTop="1" thickBot="1">
      <c r="G26" s="33"/>
      <c r="H26" s="94"/>
      <c r="I26" s="94"/>
      <c r="J26" s="47"/>
      <c r="K26" s="33"/>
      <c r="L26" s="94"/>
      <c r="M26" s="94"/>
      <c r="N26" s="47"/>
      <c r="O26" s="115"/>
      <c r="P26" s="94"/>
      <c r="Q26" s="94"/>
      <c r="R26" s="94"/>
      <c r="S26" s="94"/>
      <c r="T26" s="94"/>
      <c r="U26" s="94"/>
      <c r="V26" s="115"/>
      <c r="W26" s="112"/>
      <c r="X26" s="94"/>
      <c r="Y26" s="94"/>
      <c r="Z26" s="94"/>
      <c r="AA26" s="94"/>
      <c r="AB26" s="115"/>
      <c r="AC26" s="47"/>
      <c r="AD26" s="116"/>
      <c r="AE26" s="117"/>
    </row>
    <row r="27" spans="1:33">
      <c r="C27" s="3" t="s">
        <v>280</v>
      </c>
      <c r="G27" s="62"/>
      <c r="H27" s="56"/>
      <c r="I27" s="56"/>
      <c r="K27" s="62"/>
      <c r="L27" s="56"/>
      <c r="M27" s="56"/>
      <c r="O27" s="118"/>
      <c r="P27" s="56"/>
      <c r="Q27" s="56"/>
      <c r="R27" s="56"/>
      <c r="S27" s="56"/>
      <c r="T27" s="56"/>
      <c r="U27" s="56"/>
      <c r="V27" s="118"/>
      <c r="W27" s="56"/>
      <c r="X27" s="56"/>
      <c r="Y27" s="56"/>
      <c r="Z27" s="56"/>
      <c r="AA27" s="56"/>
      <c r="AB27" s="118"/>
    </row>
    <row r="28" spans="1:33">
      <c r="C28" s="3" t="s">
        <v>261</v>
      </c>
      <c r="G28" s="62"/>
      <c r="H28" s="56"/>
      <c r="I28" s="54">
        <f>SUMIF($F$15:$F$23,$C$28,I15:I23)</f>
        <v>386880</v>
      </c>
      <c r="K28" s="62"/>
      <c r="L28" s="56"/>
      <c r="N28" s="179" t="s">
        <v>283</v>
      </c>
      <c r="O28" s="178">
        <f>SUMIF($F$15:$F$23,$C$28,O15:O23)</f>
        <v>464505</v>
      </c>
      <c r="P28" s="56"/>
      <c r="Q28" s="56"/>
      <c r="R28" s="56"/>
      <c r="S28" s="56"/>
      <c r="U28" s="179" t="s">
        <v>283</v>
      </c>
      <c r="V28" s="178">
        <f>SUMIF($F$15:$F$23,$C$28,V15:V23)</f>
        <v>37779.15</v>
      </c>
      <c r="W28" s="119"/>
      <c r="X28" s="56"/>
      <c r="Y28" s="56"/>
      <c r="AA28" s="179" t="s">
        <v>283</v>
      </c>
      <c r="AB28" s="178">
        <f>SUMIF($F$15:$F$23,$C$28,AB15:AB23)</f>
        <v>42086.6325</v>
      </c>
    </row>
    <row r="29" spans="1:33">
      <c r="C29" s="3" t="s">
        <v>279</v>
      </c>
      <c r="G29" s="62"/>
      <c r="H29" s="56"/>
      <c r="I29" s="54">
        <f>SUMIF($F$15:$F$23,$C$29,I15:I23)</f>
        <v>199400</v>
      </c>
      <c r="K29" s="62"/>
      <c r="L29" s="56"/>
      <c r="N29" s="179" t="s">
        <v>283</v>
      </c>
      <c r="O29" s="178">
        <f>SUMIF($F$15:$F$23,$C$29,O15:O23)</f>
        <v>218525</v>
      </c>
      <c r="P29" s="56"/>
      <c r="Q29" s="56"/>
      <c r="R29" s="56"/>
      <c r="S29" s="56"/>
      <c r="U29" s="179" t="s">
        <v>283</v>
      </c>
      <c r="V29" s="178">
        <f>SUMIF($F$15:$F$23,$C$29,V15:V23)</f>
        <v>18025.75</v>
      </c>
      <c r="W29" s="56"/>
      <c r="X29" s="56"/>
      <c r="Y29" s="56"/>
      <c r="AA29" s="179" t="s">
        <v>283</v>
      </c>
      <c r="AB29" s="178">
        <f>SUMIF($F$15:$F$23,$C$29,AB15:AB23)</f>
        <v>19993.162499999999</v>
      </c>
    </row>
    <row r="30" spans="1:33" ht="14.25" thickBot="1">
      <c r="G30" s="11" t="s">
        <v>281</v>
      </c>
      <c r="I30" s="177">
        <f>SUM(I28:I29)</f>
        <v>586280</v>
      </c>
      <c r="N30" s="180" t="s">
        <v>281</v>
      </c>
      <c r="O30" s="177">
        <f>SUM(O28:O29)</f>
        <v>683030</v>
      </c>
      <c r="U30" s="180" t="s">
        <v>281</v>
      </c>
      <c r="V30" s="177">
        <f>SUM(V28:V29)</f>
        <v>55804.9</v>
      </c>
      <c r="AA30" s="180" t="s">
        <v>281</v>
      </c>
      <c r="AB30" s="177">
        <f>SUM(AB28:AB29)</f>
        <v>62079.794999999998</v>
      </c>
    </row>
    <row r="31" spans="1:33" ht="14.25" thickTop="1">
      <c r="G31" s="11" t="s">
        <v>282</v>
      </c>
      <c r="I31" s="7">
        <f>+I25-I30</f>
        <v>0</v>
      </c>
      <c r="N31" s="180" t="s">
        <v>282</v>
      </c>
      <c r="O31" s="7">
        <f>+O25-O30</f>
        <v>0</v>
      </c>
      <c r="U31" s="180" t="s">
        <v>282</v>
      </c>
      <c r="V31" s="7">
        <f>+V25-V30</f>
        <v>0</v>
      </c>
      <c r="AA31" s="180" t="s">
        <v>282</v>
      </c>
      <c r="AB31" s="7">
        <f>+AB25-AB30</f>
        <v>0</v>
      </c>
    </row>
    <row r="35" spans="19:20">
      <c r="S35" s="12">
        <f>4*2080</f>
        <v>8320</v>
      </c>
      <c r="T35" s="12">
        <f>4.09*2080</f>
        <v>8507.1999999999989</v>
      </c>
    </row>
  </sheetData>
  <mergeCells count="9">
    <mergeCell ref="K10:M10"/>
    <mergeCell ref="AD10:AE10"/>
    <mergeCell ref="X10:AB10"/>
    <mergeCell ref="B13:C13"/>
    <mergeCell ref="A1:I4"/>
    <mergeCell ref="A6:I7"/>
    <mergeCell ref="K6:L7"/>
    <mergeCell ref="M6:M7"/>
    <mergeCell ref="X7:AA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921B5-76BF-4812-A1EF-CAA2CF660823}">
  <dimension ref="A1:AA31"/>
  <sheetViews>
    <sheetView zoomScaleNormal="100" workbookViewId="0">
      <selection activeCell="N36" sqref="N36"/>
    </sheetView>
  </sheetViews>
  <sheetFormatPr defaultColWidth="9.140625" defaultRowHeight="13.5"/>
  <cols>
    <col min="1" max="1" width="3" style="3" bestFit="1" customWidth="1"/>
    <col min="2" max="2" width="7.5703125" style="3" bestFit="1" customWidth="1"/>
    <col min="3" max="3" width="9.140625" style="3" bestFit="1" customWidth="1"/>
    <col min="4" max="4" width="15" style="3" bestFit="1" customWidth="1"/>
    <col min="5" max="5" width="14.28515625" style="7" bestFit="1" customWidth="1"/>
    <col min="6" max="6" width="7.5703125" style="3" bestFit="1" customWidth="1"/>
    <col min="7" max="7" width="2.7109375" style="3" customWidth="1"/>
    <col min="8" max="8" width="12.140625" style="3" customWidth="1"/>
    <col min="9" max="11" width="11.7109375" style="3" customWidth="1"/>
    <col min="12" max="12" width="2.7109375" style="3" customWidth="1"/>
    <col min="13" max="13" width="10.140625" style="3" customWidth="1"/>
    <col min="14" max="14" width="14.28515625" style="3" customWidth="1"/>
    <col min="15" max="15" width="6.5703125" style="3" bestFit="1" customWidth="1"/>
    <col min="16" max="16" width="2.7109375" style="3" customWidth="1"/>
    <col min="17" max="17" width="12.85546875" style="6" bestFit="1" customWidth="1"/>
    <col min="18" max="18" width="2.7109375" style="3" customWidth="1"/>
    <col min="19" max="19" width="11.5703125" style="7" bestFit="1" customWidth="1"/>
    <col min="20" max="20" width="14" style="7" bestFit="1" customWidth="1"/>
    <col min="21" max="21" width="10.7109375" style="7" bestFit="1" customWidth="1"/>
    <col min="22" max="22" width="10" style="7" bestFit="1" customWidth="1"/>
    <col min="23" max="23" width="9.5703125" style="7" bestFit="1" customWidth="1"/>
    <col min="24" max="24" width="2.85546875" style="7" customWidth="1"/>
    <col min="25" max="25" width="19" style="7" customWidth="1"/>
    <col min="26" max="26" width="2.85546875" style="7" customWidth="1"/>
    <col min="27" max="27" width="17.85546875" style="7" customWidth="1"/>
    <col min="28" max="16384" width="9.140625" style="3"/>
  </cols>
  <sheetData>
    <row r="1" spans="1:27" ht="12.75" customHeight="1">
      <c r="A1" s="222" t="s">
        <v>139</v>
      </c>
      <c r="B1" s="222"/>
      <c r="C1" s="222"/>
      <c r="D1" s="222"/>
      <c r="E1" s="222"/>
      <c r="F1" s="222"/>
      <c r="H1" s="4" t="s">
        <v>108</v>
      </c>
      <c r="I1" s="5"/>
    </row>
    <row r="2" spans="1:27" ht="12.75" customHeight="1">
      <c r="A2" s="222"/>
      <c r="B2" s="222"/>
      <c r="C2" s="222"/>
      <c r="D2" s="222"/>
      <c r="E2" s="222"/>
      <c r="F2" s="222"/>
      <c r="H2" s="228" t="s">
        <v>109</v>
      </c>
      <c r="I2" s="228"/>
      <c r="J2" s="228"/>
      <c r="K2" s="228"/>
    </row>
    <row r="3" spans="1:27" ht="12.75" customHeight="1">
      <c r="A3" s="222"/>
      <c r="B3" s="222"/>
      <c r="C3" s="222"/>
      <c r="D3" s="222"/>
      <c r="E3" s="222"/>
      <c r="F3" s="222"/>
      <c r="H3" s="228" t="s">
        <v>117</v>
      </c>
      <c r="I3" s="228"/>
      <c r="J3" s="228"/>
      <c r="K3" s="228"/>
    </row>
    <row r="4" spans="1:27" ht="12.75" customHeight="1">
      <c r="A4" s="222"/>
      <c r="B4" s="222"/>
      <c r="C4" s="222"/>
      <c r="D4" s="222"/>
      <c r="E4" s="222"/>
      <c r="F4" s="222"/>
      <c r="H4" s="229" t="s">
        <v>119</v>
      </c>
      <c r="I4" s="229"/>
      <c r="J4" s="229"/>
      <c r="K4" s="229"/>
    </row>
    <row r="5" spans="1:27" ht="12.75" customHeight="1">
      <c r="A5" s="2"/>
      <c r="B5" s="2"/>
      <c r="C5" s="2"/>
      <c r="D5" s="2"/>
      <c r="E5" s="2"/>
      <c r="F5" s="2"/>
      <c r="H5" s="9" t="s">
        <v>120</v>
      </c>
      <c r="I5" s="9"/>
      <c r="J5" s="9"/>
      <c r="K5" s="9"/>
    </row>
    <row r="6" spans="1:27" ht="12.75" customHeight="1" thickBot="1">
      <c r="A6" s="10"/>
      <c r="B6" s="10"/>
      <c r="C6" s="10"/>
      <c r="D6" s="10"/>
      <c r="E6" s="10"/>
      <c r="F6" s="10"/>
      <c r="H6" s="11"/>
      <c r="I6" s="12"/>
    </row>
    <row r="7" spans="1:27" ht="12.75" customHeight="1">
      <c r="A7" s="223" t="s">
        <v>116</v>
      </c>
      <c r="B7" s="223"/>
      <c r="C7" s="223"/>
      <c r="D7" s="223"/>
      <c r="E7" s="223"/>
      <c r="F7" s="223"/>
      <c r="H7" s="224" t="s">
        <v>107</v>
      </c>
      <c r="I7" s="224"/>
      <c r="J7" s="225" t="s">
        <v>284</v>
      </c>
    </row>
    <row r="8" spans="1:27" ht="12.75" customHeight="1" thickBot="1">
      <c r="A8" s="223"/>
      <c r="B8" s="223"/>
      <c r="C8" s="223"/>
      <c r="D8" s="223"/>
      <c r="E8" s="223"/>
      <c r="F8" s="223"/>
      <c r="H8" s="224"/>
      <c r="I8" s="224"/>
      <c r="J8" s="226"/>
    </row>
    <row r="9" spans="1:27" ht="12.75" customHeight="1">
      <c r="A9" s="13"/>
      <c r="B9" s="13"/>
      <c r="C9" s="13"/>
      <c r="D9" s="13"/>
      <c r="E9" s="13"/>
      <c r="F9" s="13"/>
      <c r="H9" s="14"/>
      <c r="I9" s="14"/>
    </row>
    <row r="10" spans="1:27">
      <c r="M10" s="15"/>
      <c r="N10" s="15"/>
    </row>
    <row r="11" spans="1:27" s="15" customFormat="1" ht="16.5" thickBot="1">
      <c r="E11" s="16"/>
      <c r="H11" s="233" t="s">
        <v>32</v>
      </c>
      <c r="I11" s="233"/>
      <c r="J11" s="233"/>
      <c r="K11" s="233"/>
      <c r="M11" s="233" t="s">
        <v>33</v>
      </c>
      <c r="N11" s="233"/>
      <c r="O11" s="233"/>
      <c r="Q11" s="17"/>
      <c r="S11" s="232" t="s">
        <v>34</v>
      </c>
      <c r="T11" s="232"/>
      <c r="U11" s="232"/>
      <c r="V11" s="232"/>
      <c r="W11" s="18"/>
      <c r="X11" s="16"/>
      <c r="Y11" s="16"/>
      <c r="Z11" s="16"/>
      <c r="AA11" s="16"/>
    </row>
    <row r="12" spans="1:27" s="15" customFormat="1">
      <c r="C12" s="19"/>
      <c r="E12" s="16"/>
      <c r="Q12" s="17"/>
      <c r="S12" s="19"/>
      <c r="T12" s="19"/>
      <c r="U12" s="19"/>
      <c r="V12" s="19"/>
      <c r="W12" s="16"/>
      <c r="X12" s="16"/>
      <c r="Y12" s="20"/>
      <c r="Z12" s="16"/>
      <c r="AA12" s="21"/>
    </row>
    <row r="13" spans="1:27" s="15" customFormat="1">
      <c r="B13" s="230" t="s">
        <v>114</v>
      </c>
      <c r="C13" s="230"/>
      <c r="D13" s="23" t="s">
        <v>114</v>
      </c>
      <c r="E13" s="22" t="s">
        <v>114</v>
      </c>
      <c r="S13" s="19"/>
      <c r="T13" s="24"/>
      <c r="U13" s="19"/>
      <c r="V13" s="19"/>
      <c r="W13" s="16"/>
      <c r="X13" s="16"/>
      <c r="Y13" s="25" t="s">
        <v>15</v>
      </c>
      <c r="Z13" s="16"/>
      <c r="AA13" s="26"/>
    </row>
    <row r="14" spans="1:27" s="15" customFormat="1">
      <c r="D14" s="15" t="s">
        <v>9</v>
      </c>
      <c r="E14" s="16" t="s">
        <v>15</v>
      </c>
      <c r="F14" s="15" t="s">
        <v>29</v>
      </c>
      <c r="H14" s="15" t="s">
        <v>36</v>
      </c>
      <c r="I14" s="15" t="s">
        <v>8</v>
      </c>
      <c r="J14" s="15" t="s">
        <v>37</v>
      </c>
      <c r="M14" s="15" t="s">
        <v>368</v>
      </c>
      <c r="N14" s="15" t="s">
        <v>50</v>
      </c>
      <c r="Q14" s="27" t="s">
        <v>38</v>
      </c>
      <c r="S14" s="24" t="s">
        <v>52</v>
      </c>
      <c r="T14" s="16" t="s">
        <v>39</v>
      </c>
      <c r="U14" s="16" t="s">
        <v>54</v>
      </c>
      <c r="V14" s="16" t="s">
        <v>56</v>
      </c>
      <c r="W14" s="16"/>
      <c r="X14" s="16"/>
      <c r="Y14" s="25" t="s">
        <v>118</v>
      </c>
      <c r="Z14" s="16"/>
      <c r="AA14" s="25" t="s">
        <v>12</v>
      </c>
    </row>
    <row r="15" spans="1:27" s="15" customFormat="1" ht="15.75">
      <c r="B15" s="231" t="s">
        <v>10</v>
      </c>
      <c r="C15" s="231"/>
      <c r="D15" s="28" t="s">
        <v>40</v>
      </c>
      <c r="E15" s="28" t="s">
        <v>41</v>
      </c>
      <c r="F15" s="28" t="s">
        <v>21</v>
      </c>
      <c r="H15" s="28" t="s">
        <v>42</v>
      </c>
      <c r="I15" s="28" t="s">
        <v>115</v>
      </c>
      <c r="J15" s="28" t="s">
        <v>44</v>
      </c>
      <c r="K15" s="29" t="s">
        <v>45</v>
      </c>
      <c r="L15" s="30"/>
      <c r="M15" s="30" t="s">
        <v>43</v>
      </c>
      <c r="N15" s="30" t="s">
        <v>46</v>
      </c>
      <c r="O15" s="30" t="s">
        <v>29</v>
      </c>
      <c r="Q15" s="27" t="s">
        <v>47</v>
      </c>
      <c r="S15" s="31" t="s">
        <v>48</v>
      </c>
      <c r="T15" s="28" t="s">
        <v>53</v>
      </c>
      <c r="U15" s="28" t="s">
        <v>55</v>
      </c>
      <c r="V15" s="28" t="s">
        <v>57</v>
      </c>
      <c r="W15" s="28" t="s">
        <v>45</v>
      </c>
      <c r="X15" s="16"/>
      <c r="Y15" s="32" t="s">
        <v>21</v>
      </c>
      <c r="Z15" s="16"/>
      <c r="AA15" s="32" t="s">
        <v>35</v>
      </c>
    </row>
    <row r="16" spans="1:27">
      <c r="A16" s="15">
        <v>1</v>
      </c>
      <c r="B16" s="3" t="str">
        <f>'STEP 1 - Manpower Budget'!B15</f>
        <v>First</v>
      </c>
      <c r="C16" s="3" t="str">
        <f>'STEP 1 - Manpower Budget'!C15</f>
        <v>Last</v>
      </c>
      <c r="D16" s="183">
        <f>IF('STEP 1 - Manpower Budget'!F15="indirect","INDIRECT",'STEP 1 - Manpower Budget'!G15)</f>
        <v>2080</v>
      </c>
      <c r="E16" s="183">
        <v>500</v>
      </c>
      <c r="F16" s="33">
        <f t="shared" ref="F16:F24" si="0">IFERROR(D16+E16,0)</f>
        <v>2580</v>
      </c>
      <c r="G16" s="34"/>
      <c r="H16" s="35">
        <f>-8*10</f>
        <v>-80</v>
      </c>
      <c r="I16" s="35">
        <f t="shared" ref="I16:I21" si="1">9*8*-1</f>
        <v>-72</v>
      </c>
      <c r="J16" s="35">
        <v>-16</v>
      </c>
      <c r="K16" s="33">
        <f t="shared" ref="K16:K24" si="2">SUM(H16:J16)</f>
        <v>-168</v>
      </c>
      <c r="L16" s="33"/>
      <c r="M16" s="35">
        <v>-40</v>
      </c>
      <c r="N16" s="35">
        <f t="shared" ref="N16:N21" si="3">((D16+K16)/40)*-1</f>
        <v>-47.8</v>
      </c>
      <c r="O16" s="33">
        <f>K16+SUM(M16:N16)</f>
        <v>-255.8</v>
      </c>
      <c r="P16" s="34"/>
      <c r="Q16" s="36">
        <f t="shared" ref="Q16:Q24" si="4">+F16+O16</f>
        <v>2324.1999999999998</v>
      </c>
      <c r="R16" s="37"/>
      <c r="S16" s="35">
        <f t="shared" ref="S16:S21" si="5">-F16*0.05</f>
        <v>-129</v>
      </c>
      <c r="T16" s="35">
        <v>0</v>
      </c>
      <c r="U16" s="35">
        <f t="shared" ref="U16:U21" si="6">-F16*0.03</f>
        <v>-77.399999999999991</v>
      </c>
      <c r="V16" s="35">
        <f t="shared" ref="V16:V21" si="7">-F16*0.02</f>
        <v>-51.6</v>
      </c>
      <c r="W16" s="43">
        <f>SUM(S16:V16)</f>
        <v>-258</v>
      </c>
      <c r="X16" s="40"/>
      <c r="Y16" s="41">
        <f t="shared" ref="Y16:Y24" si="8">+Q16+W16</f>
        <v>2066.1999999999998</v>
      </c>
      <c r="Z16" s="40"/>
      <c r="AA16" s="41">
        <f>Y16*'STEP 1 - Manpower Budget'!AE15</f>
        <v>90472.278346638646</v>
      </c>
    </row>
    <row r="17" spans="1:27">
      <c r="A17" s="15">
        <v>2</v>
      </c>
      <c r="B17" s="3" t="str">
        <f>'STEP 1 - Manpower Budget'!B16</f>
        <v>First</v>
      </c>
      <c r="C17" s="3" t="str">
        <f>'STEP 1 - Manpower Budget'!C16</f>
        <v>Last</v>
      </c>
      <c r="D17" s="183">
        <f>IF('STEP 1 - Manpower Budget'!F16="indirect","INDIRECT",'STEP 1 - Manpower Budget'!G16)</f>
        <v>2080</v>
      </c>
      <c r="E17" s="183">
        <v>500</v>
      </c>
      <c r="F17" s="33">
        <f t="shared" si="0"/>
        <v>2580</v>
      </c>
      <c r="G17" s="34"/>
      <c r="H17" s="35">
        <f t="shared" ref="H17:H21" si="9">-8*10</f>
        <v>-80</v>
      </c>
      <c r="I17" s="35">
        <f t="shared" si="1"/>
        <v>-72</v>
      </c>
      <c r="J17" s="35">
        <v>-16</v>
      </c>
      <c r="K17" s="33">
        <f t="shared" si="2"/>
        <v>-168</v>
      </c>
      <c r="L17" s="33"/>
      <c r="M17" s="35">
        <v>-40</v>
      </c>
      <c r="N17" s="35">
        <f t="shared" si="3"/>
        <v>-47.8</v>
      </c>
      <c r="O17" s="33">
        <f t="shared" ref="O17:O24" si="10">K17+SUM(M17:N17)</f>
        <v>-255.8</v>
      </c>
      <c r="P17" s="34"/>
      <c r="Q17" s="36">
        <f t="shared" si="4"/>
        <v>2324.1999999999998</v>
      </c>
      <c r="R17" s="37"/>
      <c r="S17" s="35">
        <f t="shared" si="5"/>
        <v>-129</v>
      </c>
      <c r="T17" s="35">
        <v>0</v>
      </c>
      <c r="U17" s="35">
        <f t="shared" si="6"/>
        <v>-77.399999999999991</v>
      </c>
      <c r="V17" s="35">
        <f t="shared" si="7"/>
        <v>-51.6</v>
      </c>
      <c r="W17" s="43">
        <f>SUM(S17:V17)</f>
        <v>-258</v>
      </c>
      <c r="X17" s="40"/>
      <c r="Y17" s="41">
        <f t="shared" si="8"/>
        <v>2066.1999999999998</v>
      </c>
      <c r="Z17" s="40"/>
      <c r="AA17" s="41">
        <f>Y17*'STEP 1 - Manpower Budget'!AE16</f>
        <v>90472.278346638646</v>
      </c>
    </row>
    <row r="18" spans="1:27">
      <c r="A18" s="15">
        <v>3</v>
      </c>
      <c r="B18" s="3" t="str">
        <f>'STEP 1 - Manpower Budget'!B17</f>
        <v>First</v>
      </c>
      <c r="C18" s="3" t="str">
        <f>'STEP 1 - Manpower Budget'!C17</f>
        <v>Last</v>
      </c>
      <c r="D18" s="183">
        <f>IF('STEP 1 - Manpower Budget'!F17="indirect","INDIRECT",'STEP 1 - Manpower Budget'!G17)</f>
        <v>2080</v>
      </c>
      <c r="E18" s="183">
        <v>500</v>
      </c>
      <c r="F18" s="33">
        <f t="shared" si="0"/>
        <v>2580</v>
      </c>
      <c r="G18" s="42"/>
      <c r="H18" s="35">
        <f t="shared" si="9"/>
        <v>-80</v>
      </c>
      <c r="I18" s="35">
        <f t="shared" si="1"/>
        <v>-72</v>
      </c>
      <c r="J18" s="35">
        <v>-16</v>
      </c>
      <c r="K18" s="33">
        <f t="shared" si="2"/>
        <v>-168</v>
      </c>
      <c r="L18" s="43"/>
      <c r="M18" s="35">
        <v>-40</v>
      </c>
      <c r="N18" s="35">
        <f t="shared" si="3"/>
        <v>-47.8</v>
      </c>
      <c r="O18" s="33">
        <f t="shared" si="10"/>
        <v>-255.8</v>
      </c>
      <c r="P18" s="42"/>
      <c r="Q18" s="36">
        <f t="shared" si="4"/>
        <v>2324.1999999999998</v>
      </c>
      <c r="R18" s="44"/>
      <c r="S18" s="35">
        <f t="shared" si="5"/>
        <v>-129</v>
      </c>
      <c r="T18" s="35">
        <v>0</v>
      </c>
      <c r="U18" s="35">
        <f t="shared" si="6"/>
        <v>-77.399999999999991</v>
      </c>
      <c r="V18" s="35">
        <f t="shared" si="7"/>
        <v>-51.6</v>
      </c>
      <c r="W18" s="43">
        <f t="shared" ref="W18:W24" si="11">SUM(S18:V18)</f>
        <v>-258</v>
      </c>
      <c r="X18" s="39"/>
      <c r="Y18" s="41">
        <f t="shared" si="8"/>
        <v>2066.1999999999998</v>
      </c>
      <c r="Z18" s="39"/>
      <c r="AA18" s="41">
        <f>Y18*'STEP 1 - Manpower Budget'!AE17</f>
        <v>90472.278346638646</v>
      </c>
    </row>
    <row r="19" spans="1:27">
      <c r="A19" s="15">
        <v>4</v>
      </c>
      <c r="B19" s="3" t="str">
        <f>'STEP 1 - Manpower Budget'!B18</f>
        <v>First</v>
      </c>
      <c r="C19" s="3" t="str">
        <f>'STEP 1 - Manpower Budget'!C18</f>
        <v>Last</v>
      </c>
      <c r="D19" s="183">
        <f>IF('STEP 1 - Manpower Budget'!F18="indirect","INDIRECT",'STEP 1 - Manpower Budget'!G18)</f>
        <v>2080</v>
      </c>
      <c r="E19" s="183">
        <v>500</v>
      </c>
      <c r="F19" s="33">
        <f t="shared" si="0"/>
        <v>2580</v>
      </c>
      <c r="G19" s="42"/>
      <c r="H19" s="35">
        <f t="shared" si="9"/>
        <v>-80</v>
      </c>
      <c r="I19" s="35">
        <f t="shared" si="1"/>
        <v>-72</v>
      </c>
      <c r="J19" s="35">
        <v>-16</v>
      </c>
      <c r="K19" s="33">
        <f t="shared" si="2"/>
        <v>-168</v>
      </c>
      <c r="L19" s="43"/>
      <c r="M19" s="35">
        <v>-40</v>
      </c>
      <c r="N19" s="35">
        <f t="shared" si="3"/>
        <v>-47.8</v>
      </c>
      <c r="O19" s="33">
        <f t="shared" si="10"/>
        <v>-255.8</v>
      </c>
      <c r="P19" s="42"/>
      <c r="Q19" s="36">
        <f t="shared" si="4"/>
        <v>2324.1999999999998</v>
      </c>
      <c r="R19" s="44"/>
      <c r="S19" s="35">
        <f t="shared" si="5"/>
        <v>-129</v>
      </c>
      <c r="T19" s="35">
        <v>0</v>
      </c>
      <c r="U19" s="35">
        <f t="shared" si="6"/>
        <v>-77.399999999999991</v>
      </c>
      <c r="V19" s="35">
        <f t="shared" si="7"/>
        <v>-51.6</v>
      </c>
      <c r="W19" s="43">
        <f t="shared" si="11"/>
        <v>-258</v>
      </c>
      <c r="X19" s="39"/>
      <c r="Y19" s="41">
        <f t="shared" si="8"/>
        <v>2066.1999999999998</v>
      </c>
      <c r="Z19" s="39"/>
      <c r="AA19" s="41">
        <f>Y19*'STEP 1 - Manpower Budget'!AE18</f>
        <v>68498.8331053648</v>
      </c>
    </row>
    <row r="20" spans="1:27">
      <c r="A20" s="15">
        <v>5</v>
      </c>
      <c r="B20" s="3" t="str">
        <f>'STEP 1 - Manpower Budget'!B19</f>
        <v>First</v>
      </c>
      <c r="C20" s="3" t="str">
        <f>'STEP 1 - Manpower Budget'!C19</f>
        <v>Last</v>
      </c>
      <c r="D20" s="183">
        <f>IF('STEP 1 - Manpower Budget'!F19="indirect","INDIRECT",'STEP 1 - Manpower Budget'!G19)</f>
        <v>2080</v>
      </c>
      <c r="E20" s="183">
        <v>500</v>
      </c>
      <c r="F20" s="33">
        <f t="shared" si="0"/>
        <v>2580</v>
      </c>
      <c r="G20" s="42"/>
      <c r="H20" s="35">
        <f t="shared" si="9"/>
        <v>-80</v>
      </c>
      <c r="I20" s="35">
        <f t="shared" si="1"/>
        <v>-72</v>
      </c>
      <c r="J20" s="35">
        <v>-16</v>
      </c>
      <c r="K20" s="33">
        <f t="shared" si="2"/>
        <v>-168</v>
      </c>
      <c r="L20" s="43"/>
      <c r="M20" s="35">
        <v>-40</v>
      </c>
      <c r="N20" s="35">
        <f t="shared" si="3"/>
        <v>-47.8</v>
      </c>
      <c r="O20" s="33">
        <f t="shared" si="10"/>
        <v>-255.8</v>
      </c>
      <c r="P20" s="42"/>
      <c r="Q20" s="36">
        <f t="shared" si="4"/>
        <v>2324.1999999999998</v>
      </c>
      <c r="R20" s="44"/>
      <c r="S20" s="35">
        <f t="shared" si="5"/>
        <v>-129</v>
      </c>
      <c r="T20" s="35">
        <v>0</v>
      </c>
      <c r="U20" s="35">
        <f t="shared" si="6"/>
        <v>-77.399999999999991</v>
      </c>
      <c r="V20" s="35">
        <f t="shared" si="7"/>
        <v>-51.6</v>
      </c>
      <c r="W20" s="43">
        <f>SUM(S20:V20)</f>
        <v>-258</v>
      </c>
      <c r="X20" s="39"/>
      <c r="Y20" s="41">
        <f t="shared" si="8"/>
        <v>2066.1999999999998</v>
      </c>
      <c r="Z20" s="39"/>
      <c r="AA20" s="41">
        <f>Y20*'STEP 1 - Manpower Budget'!AE19</f>
        <v>68498.8331053648</v>
      </c>
    </row>
    <row r="21" spans="1:27">
      <c r="A21" s="15">
        <v>6</v>
      </c>
      <c r="B21" s="3" t="str">
        <f>'STEP 1 - Manpower Budget'!B20</f>
        <v>First</v>
      </c>
      <c r="C21" s="3" t="str">
        <f>'STEP 1 - Manpower Budget'!C20</f>
        <v>Last</v>
      </c>
      <c r="D21" s="183">
        <f>IF('STEP 1 - Manpower Budget'!F20="indirect","INDIRECT",'STEP 1 - Manpower Budget'!G20)</f>
        <v>2080</v>
      </c>
      <c r="E21" s="183">
        <v>500</v>
      </c>
      <c r="F21" s="33">
        <f t="shared" si="0"/>
        <v>2580</v>
      </c>
      <c r="G21" s="42"/>
      <c r="H21" s="35">
        <f t="shared" si="9"/>
        <v>-80</v>
      </c>
      <c r="I21" s="35">
        <f t="shared" si="1"/>
        <v>-72</v>
      </c>
      <c r="J21" s="35">
        <v>-16</v>
      </c>
      <c r="K21" s="33">
        <f t="shared" si="2"/>
        <v>-168</v>
      </c>
      <c r="L21" s="43"/>
      <c r="M21" s="35">
        <v>-40</v>
      </c>
      <c r="N21" s="35">
        <f t="shared" si="3"/>
        <v>-47.8</v>
      </c>
      <c r="O21" s="33">
        <f t="shared" si="10"/>
        <v>-255.8</v>
      </c>
      <c r="P21" s="42"/>
      <c r="Q21" s="36">
        <f t="shared" si="4"/>
        <v>2324.1999999999998</v>
      </c>
      <c r="R21" s="44"/>
      <c r="S21" s="35">
        <f t="shared" si="5"/>
        <v>-129</v>
      </c>
      <c r="T21" s="35">
        <v>0</v>
      </c>
      <c r="U21" s="35">
        <f t="shared" si="6"/>
        <v>-77.399999999999991</v>
      </c>
      <c r="V21" s="35">
        <f t="shared" si="7"/>
        <v>-51.6</v>
      </c>
      <c r="W21" s="43">
        <f t="shared" si="11"/>
        <v>-258</v>
      </c>
      <c r="X21" s="39"/>
      <c r="Y21" s="41">
        <f t="shared" si="8"/>
        <v>2066.1999999999998</v>
      </c>
      <c r="Z21" s="39"/>
      <c r="AA21" s="41">
        <f>Y21*'STEP 1 - Manpower Budget'!AE20</f>
        <v>68498.8331053648</v>
      </c>
    </row>
    <row r="22" spans="1:27">
      <c r="A22" s="15">
        <v>7</v>
      </c>
      <c r="B22" s="3" t="str">
        <f>'STEP 1 - Manpower Budget'!B21</f>
        <v>First</v>
      </c>
      <c r="C22" s="3" t="str">
        <f>'STEP 1 - Manpower Budget'!C21</f>
        <v>Last</v>
      </c>
      <c r="D22" s="183" t="str">
        <f>IF('STEP 1 - Manpower Budget'!F21="indirect","INDIRECT",'STEP 1 - Manpower Budget'!G21)</f>
        <v>INDIRECT</v>
      </c>
      <c r="E22" s="183" t="str">
        <f>IF('STEP 1 - Manpower Budget'!F21="indirect","INDIRECT",'STEP 1 - Manpower Budget'!K21)</f>
        <v>INDIRECT</v>
      </c>
      <c r="F22" s="33">
        <f>IFERROR(D22+E22,0)</f>
        <v>0</v>
      </c>
      <c r="G22" s="42"/>
      <c r="H22" s="35">
        <v>0</v>
      </c>
      <c r="I22" s="35">
        <v>0</v>
      </c>
      <c r="J22" s="35">
        <v>0</v>
      </c>
      <c r="K22" s="33">
        <f t="shared" si="2"/>
        <v>0</v>
      </c>
      <c r="L22" s="43"/>
      <c r="M22" s="35">
        <v>0</v>
      </c>
      <c r="N22" s="35">
        <v>0</v>
      </c>
      <c r="O22" s="33">
        <f t="shared" si="10"/>
        <v>0</v>
      </c>
      <c r="P22" s="42"/>
      <c r="Q22" s="36">
        <f t="shared" si="4"/>
        <v>0</v>
      </c>
      <c r="R22" s="44"/>
      <c r="S22" s="35">
        <f>-F22*0.1</f>
        <v>0</v>
      </c>
      <c r="T22" s="35">
        <f>-F22*0.05</f>
        <v>0</v>
      </c>
      <c r="U22" s="35">
        <f>-F22*0.07</f>
        <v>0</v>
      </c>
      <c r="V22" s="35">
        <f>-F22*0.06</f>
        <v>0</v>
      </c>
      <c r="W22" s="43">
        <f t="shared" si="11"/>
        <v>0</v>
      </c>
      <c r="X22" s="39"/>
      <c r="Y22" s="41">
        <f t="shared" si="8"/>
        <v>0</v>
      </c>
      <c r="Z22" s="39"/>
      <c r="AA22" s="41">
        <f>Y22*'STEP 1 - Manpower Budget'!AE21</f>
        <v>0</v>
      </c>
    </row>
    <row r="23" spans="1:27">
      <c r="A23" s="15">
        <v>8</v>
      </c>
      <c r="B23" s="3" t="str">
        <f>'STEP 1 - Manpower Budget'!B22</f>
        <v>First</v>
      </c>
      <c r="C23" s="3" t="str">
        <f>'STEP 1 - Manpower Budget'!C22</f>
        <v>Last</v>
      </c>
      <c r="D23" s="183" t="str">
        <f>IF('STEP 1 - Manpower Budget'!F22="indirect","INDIRECT",'STEP 1 - Manpower Budget'!G22)</f>
        <v>INDIRECT</v>
      </c>
      <c r="E23" s="183" t="str">
        <f>IF('STEP 1 - Manpower Budget'!F22="indirect","INDIRECT",'STEP 1 - Manpower Budget'!K22)</f>
        <v>INDIRECT</v>
      </c>
      <c r="F23" s="33">
        <f t="shared" si="0"/>
        <v>0</v>
      </c>
      <c r="G23" s="42"/>
      <c r="H23" s="35">
        <v>0</v>
      </c>
      <c r="I23" s="35">
        <v>0</v>
      </c>
      <c r="J23" s="35">
        <v>0</v>
      </c>
      <c r="K23" s="33">
        <f t="shared" si="2"/>
        <v>0</v>
      </c>
      <c r="L23" s="43"/>
      <c r="M23" s="35">
        <v>0</v>
      </c>
      <c r="N23" s="35">
        <v>0</v>
      </c>
      <c r="O23" s="33">
        <f t="shared" si="10"/>
        <v>0</v>
      </c>
      <c r="P23" s="42"/>
      <c r="Q23" s="36">
        <f t="shared" si="4"/>
        <v>0</v>
      </c>
      <c r="R23" s="44"/>
      <c r="S23" s="35">
        <f>-F23*0.1</f>
        <v>0</v>
      </c>
      <c r="T23" s="35">
        <f>-F23*0.05</f>
        <v>0</v>
      </c>
      <c r="U23" s="35">
        <f>-F23*0.07</f>
        <v>0</v>
      </c>
      <c r="V23" s="35">
        <f>-F23*0.06</f>
        <v>0</v>
      </c>
      <c r="W23" s="43">
        <f t="shared" si="11"/>
        <v>0</v>
      </c>
      <c r="X23" s="39"/>
      <c r="Y23" s="41">
        <f t="shared" si="8"/>
        <v>0</v>
      </c>
      <c r="Z23" s="39"/>
      <c r="AA23" s="41">
        <f>Y23*'STEP 1 - Manpower Budget'!AE22</f>
        <v>0</v>
      </c>
    </row>
    <row r="24" spans="1:27">
      <c r="A24" s="15">
        <v>9</v>
      </c>
      <c r="B24" s="3" t="str">
        <f>'STEP 1 - Manpower Budget'!B23</f>
        <v>First</v>
      </c>
      <c r="C24" s="3" t="str">
        <f>'STEP 1 - Manpower Budget'!C23</f>
        <v>Last</v>
      </c>
      <c r="D24" s="183" t="str">
        <f>IF('STEP 1 - Manpower Budget'!F23="indirect","INDIRECT",'STEP 1 - Manpower Budget'!G23)</f>
        <v>INDIRECT</v>
      </c>
      <c r="E24" s="183" t="str">
        <f>IF('STEP 1 - Manpower Budget'!F23="indirect","INDIRECT",'STEP 1 - Manpower Budget'!K23)</f>
        <v>INDIRECT</v>
      </c>
      <c r="F24" s="33">
        <f t="shared" si="0"/>
        <v>0</v>
      </c>
      <c r="G24" s="42"/>
      <c r="H24" s="35">
        <v>0</v>
      </c>
      <c r="I24" s="35">
        <v>0</v>
      </c>
      <c r="J24" s="35">
        <v>0</v>
      </c>
      <c r="K24" s="33">
        <f t="shared" si="2"/>
        <v>0</v>
      </c>
      <c r="L24" s="43"/>
      <c r="M24" s="35">
        <v>0</v>
      </c>
      <c r="N24" s="35">
        <v>0</v>
      </c>
      <c r="O24" s="33">
        <f t="shared" si="10"/>
        <v>0</v>
      </c>
      <c r="P24" s="42"/>
      <c r="Q24" s="36">
        <f t="shared" si="4"/>
        <v>0</v>
      </c>
      <c r="R24" s="44"/>
      <c r="S24" s="35">
        <f>-F24*0.1</f>
        <v>0</v>
      </c>
      <c r="T24" s="35">
        <f>-F24*0.05</f>
        <v>0</v>
      </c>
      <c r="U24" s="35">
        <f>-F24*0.07</f>
        <v>0</v>
      </c>
      <c r="V24" s="35">
        <f>-F24*0.06</f>
        <v>0</v>
      </c>
      <c r="W24" s="43">
        <f t="shared" si="11"/>
        <v>0</v>
      </c>
      <c r="X24" s="39"/>
      <c r="Y24" s="41">
        <f t="shared" si="8"/>
        <v>0</v>
      </c>
      <c r="Z24" s="39"/>
      <c r="AA24" s="41">
        <f>Y24*'STEP 1 - Manpower Budget'!AE23</f>
        <v>0</v>
      </c>
    </row>
    <row r="25" spans="1:27">
      <c r="D25" s="45"/>
      <c r="E25" s="46"/>
      <c r="F25" s="45"/>
      <c r="G25" s="47"/>
      <c r="H25" s="45"/>
      <c r="I25" s="45"/>
      <c r="J25" s="45"/>
      <c r="K25" s="45"/>
      <c r="L25" s="45"/>
      <c r="M25" s="45"/>
      <c r="N25" s="45"/>
      <c r="O25" s="45"/>
      <c r="P25" s="47"/>
      <c r="Q25" s="48"/>
      <c r="R25" s="47"/>
      <c r="S25" s="104"/>
      <c r="T25" s="166"/>
      <c r="U25" s="166"/>
      <c r="V25" s="166"/>
      <c r="W25" s="166"/>
      <c r="X25" s="39"/>
      <c r="Y25" s="49"/>
      <c r="Z25" s="39"/>
      <c r="AA25" s="50"/>
    </row>
    <row r="26" spans="1:27" ht="14.25" thickBot="1">
      <c r="C26" s="3" t="s">
        <v>31</v>
      </c>
      <c r="D26" s="51">
        <f>SUM(D16:D24)</f>
        <v>12480</v>
      </c>
      <c r="E26" s="108">
        <f>SUM(E16:E24)</f>
        <v>3000</v>
      </c>
      <c r="F26" s="51">
        <f>SUM(F16:F24)</f>
        <v>15480</v>
      </c>
      <c r="G26" s="47"/>
      <c r="H26" s="51">
        <f>SUM(H16:H24)</f>
        <v>-480</v>
      </c>
      <c r="I26" s="51">
        <f>SUM(I16:I24)</f>
        <v>-432</v>
      </c>
      <c r="J26" s="51">
        <f>SUM(J16:J24)</f>
        <v>-96</v>
      </c>
      <c r="K26" s="51">
        <f>SUM(K16:K24)</f>
        <v>-1008</v>
      </c>
      <c r="L26" s="51"/>
      <c r="M26" s="51">
        <f>SUM(M16:M24)</f>
        <v>-240</v>
      </c>
      <c r="N26" s="51">
        <f>SUM(N16:N24)</f>
        <v>-286.8</v>
      </c>
      <c r="O26" s="51">
        <f>SUM(O16:O24)</f>
        <v>-1534.8</v>
      </c>
      <c r="P26" s="44"/>
      <c r="Q26" s="52">
        <f>SUM(Q16:Q24)</f>
        <v>13945.2</v>
      </c>
      <c r="R26" s="44"/>
      <c r="S26" s="108">
        <f>SUM(S16:S24)</f>
        <v>-774</v>
      </c>
      <c r="T26" s="167">
        <f>SUM(T16:T24)</f>
        <v>0</v>
      </c>
      <c r="U26" s="167">
        <f>SUM(U16:U24)</f>
        <v>-464.39999999999992</v>
      </c>
      <c r="V26" s="167">
        <f>SUM(V16:V24)</f>
        <v>-309.60000000000002</v>
      </c>
      <c r="W26" s="167">
        <f>SUM(W16:W24)</f>
        <v>-1548</v>
      </c>
      <c r="X26" s="39"/>
      <c r="Y26" s="53">
        <f>SUM(Y16:Y24)</f>
        <v>12397.2</v>
      </c>
      <c r="Z26" s="39"/>
      <c r="AA26" s="53">
        <f>SUM(AA16:AA24)</f>
        <v>476913.33435601037</v>
      </c>
    </row>
    <row r="27" spans="1:27" ht="14.25" thickTop="1">
      <c r="S27" s="54"/>
      <c r="T27" s="54"/>
      <c r="Y27" s="121" t="s">
        <v>111</v>
      </c>
      <c r="AA27" s="121" t="s">
        <v>111</v>
      </c>
    </row>
    <row r="28" spans="1:27">
      <c r="Y28" s="122" t="s">
        <v>112</v>
      </c>
      <c r="AA28" s="122" t="s">
        <v>112</v>
      </c>
    </row>
    <row r="29" spans="1:27" ht="14.25" thickBot="1">
      <c r="Y29" s="55"/>
      <c r="AA29" s="55"/>
    </row>
    <row r="31" spans="1:27">
      <c r="E31" s="209"/>
    </row>
  </sheetData>
  <mergeCells count="12">
    <mergeCell ref="B13:C13"/>
    <mergeCell ref="B15:C15"/>
    <mergeCell ref="S11:V11"/>
    <mergeCell ref="H11:K11"/>
    <mergeCell ref="M11:O11"/>
    <mergeCell ref="A1:F4"/>
    <mergeCell ref="A7:F8"/>
    <mergeCell ref="H7:I8"/>
    <mergeCell ref="J7:J8"/>
    <mergeCell ref="H2:K2"/>
    <mergeCell ref="H3:K3"/>
    <mergeCell ref="H4:K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6068C-A9E4-46FC-9A54-72BE9B3CA696}">
  <dimension ref="A1:F46"/>
  <sheetViews>
    <sheetView topLeftCell="A26" workbookViewId="0">
      <selection activeCell="D30" sqref="D30"/>
    </sheetView>
  </sheetViews>
  <sheetFormatPr defaultColWidth="9.140625" defaultRowHeight="15.75"/>
  <cols>
    <col min="1" max="1" width="54.140625" style="123" customWidth="1"/>
    <col min="2" max="2" width="21.28515625" style="123" customWidth="1"/>
    <col min="3" max="3" width="32.42578125" style="123" bestFit="1" customWidth="1"/>
    <col min="4" max="4" width="13.42578125" style="123" bestFit="1" customWidth="1"/>
    <col min="5" max="5" width="14" style="123" bestFit="1" customWidth="1"/>
    <col min="6" max="16384" width="9.140625" style="123"/>
  </cols>
  <sheetData>
    <row r="1" spans="1:6">
      <c r="A1" s="235" t="s">
        <v>139</v>
      </c>
      <c r="B1" s="8" t="s">
        <v>108</v>
      </c>
      <c r="C1" s="5"/>
      <c r="D1" s="56"/>
      <c r="E1" s="3"/>
      <c r="F1" s="3"/>
    </row>
    <row r="2" spans="1:6">
      <c r="A2" s="235"/>
      <c r="B2" s="135" t="s">
        <v>109</v>
      </c>
      <c r="C2" s="135"/>
      <c r="D2" s="134"/>
      <c r="E2" s="134"/>
      <c r="F2" s="134"/>
    </row>
    <row r="3" spans="1:6">
      <c r="A3" s="235"/>
      <c r="B3" s="136" t="s">
        <v>128</v>
      </c>
      <c r="C3" s="136"/>
      <c r="D3" s="134"/>
      <c r="E3" s="134"/>
      <c r="F3" s="134"/>
    </row>
    <row r="4" spans="1:6">
      <c r="A4" s="235"/>
      <c r="B4" s="133"/>
    </row>
    <row r="5" spans="1:6" ht="16.5" thickBot="1"/>
    <row r="6" spans="1:6" ht="15.75" customHeight="1">
      <c r="A6" s="234" t="s">
        <v>122</v>
      </c>
      <c r="B6" s="224" t="s">
        <v>107</v>
      </c>
      <c r="C6" s="225" t="s">
        <v>284</v>
      </c>
    </row>
    <row r="7" spans="1:6" ht="16.5" customHeight="1" thickBot="1">
      <c r="A7" s="234"/>
      <c r="B7" s="224"/>
      <c r="C7" s="226"/>
    </row>
    <row r="8" spans="1:6" ht="13.9" customHeight="1"/>
    <row r="9" spans="1:6" ht="13.9" customHeight="1"/>
    <row r="10" spans="1:6" ht="13.9" customHeight="1">
      <c r="A10" s="124" t="s">
        <v>67</v>
      </c>
      <c r="B10" s="125" t="s">
        <v>66</v>
      </c>
      <c r="C10" s="125" t="s">
        <v>64</v>
      </c>
    </row>
    <row r="11" spans="1:6" ht="13.9" customHeight="1">
      <c r="A11" s="123" t="s">
        <v>59</v>
      </c>
      <c r="B11" s="126">
        <f>'STEP 1 - Manpower Budget'!O28</f>
        <v>464505</v>
      </c>
      <c r="C11" s="127" t="s">
        <v>123</v>
      </c>
    </row>
    <row r="12" spans="1:6" ht="13.9" customHeight="1">
      <c r="A12" s="123" t="s">
        <v>61</v>
      </c>
      <c r="B12" s="128">
        <f>'STEP 1 - Manpower Budget'!V28</f>
        <v>37779.15</v>
      </c>
      <c r="C12" s="127" t="s">
        <v>123</v>
      </c>
    </row>
    <row r="13" spans="1:6" ht="13.9" customHeight="1">
      <c r="A13" s="123" t="s">
        <v>62</v>
      </c>
      <c r="B13" s="128">
        <f>'STEP 1 - Manpower Budget'!AB28</f>
        <v>42086.6325</v>
      </c>
      <c r="C13" s="127" t="s">
        <v>123</v>
      </c>
    </row>
    <row r="14" spans="1:6" ht="13.9" customHeight="1">
      <c r="A14" s="123" t="s">
        <v>152</v>
      </c>
      <c r="B14" s="129">
        <v>8000</v>
      </c>
      <c r="C14" s="127" t="s">
        <v>121</v>
      </c>
    </row>
    <row r="15" spans="1:6" ht="13.9" customHeight="1">
      <c r="A15" s="123" t="s">
        <v>92</v>
      </c>
      <c r="B15" s="129">
        <v>30000</v>
      </c>
      <c r="C15" s="127" t="s">
        <v>121</v>
      </c>
    </row>
    <row r="16" spans="1:6" ht="13.9" customHeight="1">
      <c r="A16" s="123" t="s">
        <v>51</v>
      </c>
      <c r="B16" s="129">
        <v>60000</v>
      </c>
      <c r="C16" s="127" t="s">
        <v>121</v>
      </c>
    </row>
    <row r="17" spans="1:5" ht="13.9" customHeight="1">
      <c r="A17" s="123" t="s">
        <v>3</v>
      </c>
      <c r="B17" s="129">
        <v>50000</v>
      </c>
      <c r="C17" s="127" t="s">
        <v>121</v>
      </c>
    </row>
    <row r="18" spans="1:5" ht="13.9" customHeight="1">
      <c r="A18" s="123" t="s">
        <v>146</v>
      </c>
      <c r="B18" s="129">
        <v>5000</v>
      </c>
      <c r="C18" s="127" t="s">
        <v>121</v>
      </c>
    </row>
    <row r="19" spans="1:5" ht="13.9" customHeight="1">
      <c r="A19" s="123" t="s">
        <v>147</v>
      </c>
      <c r="B19" s="129">
        <v>20000</v>
      </c>
      <c r="C19" s="127" t="s">
        <v>121</v>
      </c>
    </row>
    <row r="20" spans="1:5" ht="13.9" customHeight="1">
      <c r="A20" s="123" t="s">
        <v>148</v>
      </c>
      <c r="B20" s="129">
        <v>15000</v>
      </c>
      <c r="C20" s="127" t="s">
        <v>121</v>
      </c>
    </row>
    <row r="21" spans="1:5" ht="13.9" customHeight="1">
      <c r="A21" s="123" t="s">
        <v>269</v>
      </c>
      <c r="B21" s="129">
        <v>10000</v>
      </c>
      <c r="C21" s="127" t="s">
        <v>121</v>
      </c>
    </row>
    <row r="22" spans="1:5" ht="13.9" customHeight="1">
      <c r="A22" s="123" t="s">
        <v>153</v>
      </c>
      <c r="B22" s="129">
        <v>5000</v>
      </c>
      <c r="C22" s="127" t="s">
        <v>121</v>
      </c>
    </row>
    <row r="23" spans="1:5" ht="13.9" customHeight="1">
      <c r="A23" s="123" t="s">
        <v>2</v>
      </c>
      <c r="B23" s="129">
        <v>35000</v>
      </c>
      <c r="C23" s="127" t="s">
        <v>121</v>
      </c>
    </row>
    <row r="24" spans="1:5" ht="13.9" customHeight="1">
      <c r="A24" s="123" t="s">
        <v>149</v>
      </c>
      <c r="B24" s="129">
        <v>100000</v>
      </c>
      <c r="C24" s="127" t="s">
        <v>121</v>
      </c>
    </row>
    <row r="25" spans="1:5" ht="13.9" customHeight="1">
      <c r="A25" s="123" t="s">
        <v>270</v>
      </c>
      <c r="B25" s="129">
        <f>'STEP 1 - Manpower Budget'!O29</f>
        <v>218525</v>
      </c>
      <c r="C25" s="127" t="s">
        <v>123</v>
      </c>
    </row>
    <row r="26" spans="1:5" ht="13.9" customHeight="1">
      <c r="A26" s="123" t="s">
        <v>271</v>
      </c>
      <c r="B26" s="129">
        <f>'STEP 1 - Manpower Budget'!V29</f>
        <v>18025.75</v>
      </c>
      <c r="C26" s="127" t="s">
        <v>123</v>
      </c>
    </row>
    <row r="27" spans="1:5" ht="13.9" customHeight="1">
      <c r="A27" s="123" t="s">
        <v>272</v>
      </c>
      <c r="B27" s="129">
        <f>'STEP 1 - Manpower Budget'!AB29</f>
        <v>19993.162499999999</v>
      </c>
      <c r="C27" s="127" t="s">
        <v>123</v>
      </c>
    </row>
    <row r="28" spans="1:5" ht="13.9" customHeight="1">
      <c r="A28" s="123" t="s">
        <v>150</v>
      </c>
      <c r="B28" s="129">
        <v>8000</v>
      </c>
      <c r="C28" s="127" t="s">
        <v>121</v>
      </c>
    </row>
    <row r="29" spans="1:5" ht="13.9" customHeight="1">
      <c r="A29" s="123" t="s">
        <v>58</v>
      </c>
      <c r="B29" s="129">
        <v>15000</v>
      </c>
      <c r="C29" s="127" t="s">
        <v>121</v>
      </c>
    </row>
    <row r="30" spans="1:5" ht="13.9" customHeight="1">
      <c r="A30" s="123" t="s">
        <v>0</v>
      </c>
      <c r="B30" s="129">
        <v>10000</v>
      </c>
      <c r="C30" s="127" t="s">
        <v>121</v>
      </c>
      <c r="E30" s="210"/>
    </row>
    <row r="31" spans="1:5" ht="13.9" customHeight="1">
      <c r="A31" s="123" t="s">
        <v>43</v>
      </c>
      <c r="B31" s="129">
        <v>20000</v>
      </c>
      <c r="C31" s="127" t="s">
        <v>121</v>
      </c>
    </row>
    <row r="32" spans="1:5" ht="13.9" customHeight="1">
      <c r="A32" s="123" t="s">
        <v>1</v>
      </c>
      <c r="B32" s="129">
        <v>6000</v>
      </c>
      <c r="C32" s="127" t="s">
        <v>121</v>
      </c>
    </row>
    <row r="33" spans="1:5" ht="13.9" customHeight="1">
      <c r="A33" s="123" t="s">
        <v>273</v>
      </c>
      <c r="B33" s="129">
        <v>5000</v>
      </c>
      <c r="C33" s="127" t="s">
        <v>121</v>
      </c>
    </row>
    <row r="34" spans="1:5" ht="13.9" customHeight="1">
      <c r="A34" s="123" t="s">
        <v>151</v>
      </c>
      <c r="B34" s="129">
        <v>20000</v>
      </c>
      <c r="C34" s="127" t="s">
        <v>121</v>
      </c>
    </row>
    <row r="35" spans="1:5" ht="13.9" customHeight="1">
      <c r="A35" s="123" t="s">
        <v>250</v>
      </c>
      <c r="B35" s="129">
        <v>90000</v>
      </c>
      <c r="C35" s="127" t="s">
        <v>121</v>
      </c>
    </row>
    <row r="36" spans="1:5" ht="13.9" customHeight="1">
      <c r="A36" s="123" t="s">
        <v>251</v>
      </c>
      <c r="B36" s="129">
        <v>20000</v>
      </c>
      <c r="C36" s="127" t="s">
        <v>121</v>
      </c>
    </row>
    <row r="37" spans="1:5" ht="13.9" customHeight="1">
      <c r="A37" s="123" t="s">
        <v>252</v>
      </c>
      <c r="B37" s="129">
        <v>40000</v>
      </c>
      <c r="C37" s="127" t="s">
        <v>121</v>
      </c>
      <c r="E37" s="210"/>
    </row>
    <row r="38" spans="1:5" ht="13.9" customHeight="1">
      <c r="B38" s="130"/>
    </row>
    <row r="39" spans="1:5" ht="13.9" customHeight="1">
      <c r="A39" s="123" t="s">
        <v>63</v>
      </c>
      <c r="B39" s="131">
        <f>SUM(B11:B38)</f>
        <v>1372914.6950000001</v>
      </c>
    </row>
    <row r="40" spans="1:5" ht="13.9" customHeight="1"/>
    <row r="41" spans="1:5" ht="13.9" customHeight="1">
      <c r="A41" s="123" t="s">
        <v>65</v>
      </c>
      <c r="B41" s="128">
        <f>'STEP 2 - Efficiency Budget'!Y26</f>
        <v>12397.2</v>
      </c>
      <c r="C41" s="127" t="s">
        <v>124</v>
      </c>
    </row>
    <row r="42" spans="1:5" ht="13.9" customHeight="1" thickBot="1">
      <c r="B42" s="128"/>
    </row>
    <row r="43" spans="1:5" ht="13.9" customHeight="1" thickBot="1">
      <c r="A43" s="132" t="s">
        <v>60</v>
      </c>
      <c r="B43" s="137">
        <f>B39/B41</f>
        <v>110.74393371083794</v>
      </c>
      <c r="C43" s="123" t="s">
        <v>286</v>
      </c>
    </row>
    <row r="44" spans="1:5" ht="13.9" customHeight="1" thickBot="1">
      <c r="A44" s="132" t="s">
        <v>91</v>
      </c>
      <c r="B44" s="137">
        <f>(B39-B11-B12-B13)/B41</f>
        <v>66.833148815861648</v>
      </c>
      <c r="C44" s="123" t="s">
        <v>126</v>
      </c>
    </row>
    <row r="45" spans="1:5" ht="13.9" customHeight="1" thickBot="1">
      <c r="A45" s="132" t="s">
        <v>99</v>
      </c>
      <c r="B45" s="137">
        <f>(B11+B12+B13)/B41</f>
        <v>43.910784894976281</v>
      </c>
      <c r="C45" s="123" t="s">
        <v>127</v>
      </c>
    </row>
    <row r="46" spans="1:5" ht="13.9" customHeight="1" thickBot="1">
      <c r="A46" s="132" t="s">
        <v>93</v>
      </c>
      <c r="B46" s="137">
        <f>(B11+B12+B13+B16+B37+B19)/B41</f>
        <v>53.590389967089337</v>
      </c>
      <c r="C46" s="123" t="s">
        <v>125</v>
      </c>
    </row>
  </sheetData>
  <mergeCells count="4">
    <mergeCell ref="A6:A7"/>
    <mergeCell ref="A1:A4"/>
    <mergeCell ref="C6:C7"/>
    <mergeCell ref="B6:B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707C1-B2B2-40F9-BCA1-18C342D517ED}">
  <dimension ref="A1:K52"/>
  <sheetViews>
    <sheetView tabSelected="1" zoomScaleNormal="100" workbookViewId="0">
      <selection activeCell="I28" sqref="I28"/>
    </sheetView>
  </sheetViews>
  <sheetFormatPr defaultColWidth="9.140625" defaultRowHeight="15"/>
  <cols>
    <col min="1" max="2" width="3.5703125" style="1" customWidth="1"/>
    <col min="3" max="3" width="32.5703125" style="1" customWidth="1"/>
    <col min="4" max="4" width="9.28515625" style="1" bestFit="1" customWidth="1"/>
    <col min="5" max="6" width="15.28515625" style="1" customWidth="1"/>
    <col min="7" max="7" width="18.42578125" style="1" customWidth="1"/>
    <col min="8" max="8" width="15.28515625" style="1" customWidth="1"/>
    <col min="9" max="9" width="14.28515625" style="1" bestFit="1" customWidth="1"/>
    <col min="10" max="16384" width="9.140625" style="1"/>
  </cols>
  <sheetData>
    <row r="1" spans="1:11">
      <c r="A1" s="244" t="s">
        <v>139</v>
      </c>
      <c r="B1" s="244"/>
      <c r="C1" s="244"/>
      <c r="D1" s="244"/>
      <c r="E1" s="159" t="s">
        <v>133</v>
      </c>
      <c r="F1" s="138"/>
      <c r="G1" s="138"/>
    </row>
    <row r="2" spans="1:11" ht="15.75">
      <c r="A2" s="244"/>
      <c r="B2" s="244"/>
      <c r="C2" s="244"/>
      <c r="D2" s="244"/>
      <c r="E2" s="135" t="s">
        <v>109</v>
      </c>
      <c r="F2" s="138"/>
      <c r="G2" s="138"/>
    </row>
    <row r="3" spans="1:11" ht="15.75">
      <c r="A3" s="244"/>
      <c r="B3" s="244"/>
      <c r="C3" s="244"/>
      <c r="D3" s="244"/>
      <c r="E3" s="135" t="s">
        <v>134</v>
      </c>
      <c r="F3" s="138"/>
      <c r="G3" s="138"/>
    </row>
    <row r="4" spans="1:11" ht="15.75">
      <c r="A4" s="244"/>
      <c r="B4" s="244"/>
      <c r="C4" s="244"/>
      <c r="D4" s="244"/>
      <c r="E4" s="135" t="s">
        <v>135</v>
      </c>
      <c r="F4" s="138"/>
      <c r="G4" s="138"/>
    </row>
    <row r="5" spans="1:11" ht="15.75">
      <c r="A5" s="244"/>
      <c r="B5" s="244"/>
      <c r="C5" s="244"/>
      <c r="D5" s="244"/>
      <c r="E5" s="136" t="s">
        <v>136</v>
      </c>
      <c r="F5" s="161"/>
      <c r="G5" s="161"/>
    </row>
    <row r="7" spans="1:11">
      <c r="A7" s="245" t="s">
        <v>131</v>
      </c>
      <c r="B7" s="245"/>
      <c r="C7" s="245"/>
      <c r="D7" s="245"/>
    </row>
    <row r="8" spans="1:11">
      <c r="A8" s="245"/>
      <c r="B8" s="245"/>
      <c r="C8" s="245"/>
      <c r="D8" s="245"/>
    </row>
    <row r="10" spans="1:11" ht="15.75" thickBot="1"/>
    <row r="11" spans="1:11" ht="15.75" customHeight="1">
      <c r="A11" s="237" t="s">
        <v>129</v>
      </c>
      <c r="B11" s="237"/>
      <c r="C11" s="237"/>
      <c r="D11" s="238" t="s">
        <v>130</v>
      </c>
      <c r="E11" s="239"/>
      <c r="F11" s="240"/>
    </row>
    <row r="12" spans="1:11" ht="15" customHeight="1" thickBot="1">
      <c r="A12" s="237"/>
      <c r="B12" s="237"/>
      <c r="C12" s="237"/>
      <c r="D12" s="241"/>
      <c r="E12" s="242"/>
      <c r="F12" s="243"/>
    </row>
    <row r="13" spans="1:11" ht="15" customHeight="1">
      <c r="A13" s="142"/>
      <c r="B13" s="142"/>
      <c r="C13" s="142"/>
      <c r="D13" s="142"/>
      <c r="E13" s="142"/>
      <c r="F13" s="142"/>
    </row>
    <row r="14" spans="1:11" ht="15.75">
      <c r="E14" s="165" t="s">
        <v>137</v>
      </c>
    </row>
    <row r="15" spans="1:11" ht="20.25">
      <c r="A15" s="143" t="s">
        <v>71</v>
      </c>
      <c r="D15" s="146" t="s">
        <v>72</v>
      </c>
      <c r="E15" s="146" t="s">
        <v>78</v>
      </c>
      <c r="F15" s="146" t="s">
        <v>29</v>
      </c>
      <c r="G15" s="246" t="s">
        <v>132</v>
      </c>
      <c r="H15" s="246"/>
    </row>
    <row r="16" spans="1:11">
      <c r="B16" s="1" t="s">
        <v>68</v>
      </c>
      <c r="D16" s="141">
        <v>12</v>
      </c>
      <c r="E16" s="147">
        <f>'STEP 3 - Cost Summary Template'!B43</f>
        <v>110.74393371083794</v>
      </c>
      <c r="F16" s="147">
        <f>D16*E16</f>
        <v>1328.9272045300552</v>
      </c>
      <c r="G16" s="236" t="s">
        <v>138</v>
      </c>
      <c r="H16" s="236"/>
      <c r="I16" s="236"/>
      <c r="J16" s="236"/>
      <c r="K16" s="236"/>
    </row>
    <row r="17" spans="1:11">
      <c r="B17" s="1" t="s">
        <v>69</v>
      </c>
      <c r="D17" s="141">
        <v>16</v>
      </c>
      <c r="E17" s="147">
        <f>'STEP 3 - Cost Summary Template'!B43</f>
        <v>110.74393371083794</v>
      </c>
      <c r="F17" s="147">
        <f>D17*E17</f>
        <v>1771.902939373407</v>
      </c>
      <c r="G17" s="236" t="s">
        <v>138</v>
      </c>
      <c r="H17" s="236"/>
      <c r="I17" s="236"/>
      <c r="J17" s="236"/>
      <c r="K17" s="236"/>
    </row>
    <row r="18" spans="1:11">
      <c r="B18" s="1" t="s">
        <v>70</v>
      </c>
      <c r="D18" s="141">
        <v>4</v>
      </c>
      <c r="E18" s="147">
        <f>'STEP 3 - Cost Summary Template'!B43</f>
        <v>110.74393371083794</v>
      </c>
      <c r="F18" s="147">
        <f>D18*E18</f>
        <v>442.97573484335174</v>
      </c>
      <c r="G18" s="236" t="s">
        <v>138</v>
      </c>
      <c r="H18" s="236"/>
      <c r="I18" s="236"/>
      <c r="J18" s="236"/>
      <c r="K18" s="236"/>
    </row>
    <row r="19" spans="1:11">
      <c r="C19" s="1" t="s">
        <v>82</v>
      </c>
      <c r="D19" s="148">
        <f>SUM(D16:D18)</f>
        <v>32</v>
      </c>
      <c r="E19" s="147"/>
      <c r="F19" s="148">
        <f>SUM(F16:F18)</f>
        <v>3543.805878746814</v>
      </c>
    </row>
    <row r="20" spans="1:11" ht="5.25" customHeight="1">
      <c r="D20" s="149"/>
      <c r="E20" s="149"/>
      <c r="F20" s="149"/>
    </row>
    <row r="21" spans="1:11" ht="15.75">
      <c r="A21" s="143" t="s">
        <v>367</v>
      </c>
      <c r="D21" s="141">
        <v>4</v>
      </c>
      <c r="E21" s="141">
        <v>178</v>
      </c>
      <c r="F21" s="147">
        <f>+D21*E21</f>
        <v>712</v>
      </c>
    </row>
    <row r="22" spans="1:11" ht="5.25" customHeight="1">
      <c r="D22" s="149"/>
      <c r="E22" s="149"/>
      <c r="F22" s="149"/>
    </row>
    <row r="23" spans="1:11" ht="15.75">
      <c r="A23" s="143" t="s">
        <v>97</v>
      </c>
      <c r="D23" s="141">
        <v>2</v>
      </c>
      <c r="E23" s="141">
        <v>150</v>
      </c>
      <c r="F23" s="147">
        <f>+D23*E23</f>
        <v>300</v>
      </c>
    </row>
    <row r="24" spans="1:11" ht="5.25" customHeight="1">
      <c r="D24" s="149"/>
      <c r="E24" s="149"/>
      <c r="F24" s="149"/>
    </row>
    <row r="25" spans="1:11" ht="15.75">
      <c r="A25" s="143" t="s">
        <v>73</v>
      </c>
      <c r="D25" s="149"/>
      <c r="E25" s="149"/>
      <c r="F25" s="149"/>
    </row>
    <row r="26" spans="1:11">
      <c r="B26" s="1" t="s">
        <v>74</v>
      </c>
      <c r="D26" s="141">
        <v>1</v>
      </c>
      <c r="E26" s="141">
        <v>0</v>
      </c>
      <c r="F26" s="149">
        <f>D26*E26</f>
        <v>0</v>
      </c>
    </row>
    <row r="27" spans="1:11">
      <c r="B27" s="1" t="s">
        <v>94</v>
      </c>
      <c r="D27" s="141">
        <v>1</v>
      </c>
      <c r="E27" s="141">
        <v>0</v>
      </c>
      <c r="F27" s="149">
        <f>D27*E27</f>
        <v>0</v>
      </c>
    </row>
    <row r="28" spans="1:11">
      <c r="C28" s="1" t="s">
        <v>87</v>
      </c>
      <c r="D28" s="149"/>
      <c r="E28" s="149"/>
      <c r="F28" s="150">
        <f>SUM(F26:F27)</f>
        <v>0</v>
      </c>
    </row>
    <row r="29" spans="1:11" ht="5.25" customHeight="1"/>
    <row r="30" spans="1:11" ht="15.75">
      <c r="A30" s="143" t="s">
        <v>75</v>
      </c>
    </row>
    <row r="31" spans="1:11">
      <c r="B31" s="1" t="s">
        <v>79</v>
      </c>
      <c r="F31" s="140">
        <v>500</v>
      </c>
    </row>
    <row r="32" spans="1:11">
      <c r="B32" s="1" t="s">
        <v>80</v>
      </c>
      <c r="F32" s="140">
        <v>600</v>
      </c>
    </row>
    <row r="33" spans="1:6">
      <c r="C33" s="1" t="s">
        <v>88</v>
      </c>
      <c r="F33" s="148">
        <f>SUM(F31:F32)</f>
        <v>1100</v>
      </c>
    </row>
    <row r="34" spans="1:6" ht="5.25" customHeight="1"/>
    <row r="35" spans="1:6" ht="15.75">
      <c r="A35" s="143" t="s">
        <v>76</v>
      </c>
    </row>
    <row r="36" spans="1:6">
      <c r="B36" s="1" t="s">
        <v>81</v>
      </c>
      <c r="F36" s="139">
        <v>100</v>
      </c>
    </row>
    <row r="37" spans="1:6">
      <c r="B37" s="1" t="s">
        <v>95</v>
      </c>
      <c r="F37" s="140">
        <v>200</v>
      </c>
    </row>
    <row r="38" spans="1:6">
      <c r="C38" s="1" t="s">
        <v>96</v>
      </c>
      <c r="F38" s="148">
        <f>SUM(F36:F37)</f>
        <v>300</v>
      </c>
    </row>
    <row r="39" spans="1:6" ht="5.25" customHeight="1"/>
    <row r="40" spans="1:6" ht="20.25">
      <c r="A40" s="143" t="s">
        <v>77</v>
      </c>
      <c r="D40" s="146" t="s">
        <v>72</v>
      </c>
      <c r="E40" s="146" t="s">
        <v>78</v>
      </c>
      <c r="F40" s="146" t="s">
        <v>29</v>
      </c>
    </row>
    <row r="41" spans="1:6">
      <c r="B41" s="1" t="s">
        <v>83</v>
      </c>
      <c r="D41" s="138">
        <v>12</v>
      </c>
      <c r="E41" s="151">
        <f>'STEP 3 - Cost Summary Template'!B46</f>
        <v>53.590389967089337</v>
      </c>
      <c r="F41" s="151">
        <f>+D41*E41</f>
        <v>643.0846796050721</v>
      </c>
    </row>
    <row r="42" spans="1:6" ht="5.25" customHeight="1"/>
    <row r="43" spans="1:6" ht="15.75">
      <c r="A43" s="143" t="s">
        <v>84</v>
      </c>
      <c r="D43" s="138">
        <v>1</v>
      </c>
      <c r="E43" s="138">
        <v>500</v>
      </c>
      <c r="F43" s="147">
        <f>+D43*E43</f>
        <v>500</v>
      </c>
    </row>
    <row r="44" spans="1:6" ht="5.25" customHeight="1"/>
    <row r="45" spans="1:6" ht="15.75">
      <c r="A45" s="143" t="s">
        <v>85</v>
      </c>
      <c r="D45" s="138">
        <v>1</v>
      </c>
      <c r="E45" s="138">
        <v>250</v>
      </c>
      <c r="F45" s="184">
        <f>D45*E45</f>
        <v>250</v>
      </c>
    </row>
    <row r="46" spans="1:6" ht="5.25" customHeight="1">
      <c r="F46" s="152"/>
    </row>
    <row r="47" spans="1:6" ht="16.5" thickBot="1">
      <c r="C47" s="143" t="s">
        <v>86</v>
      </c>
      <c r="D47" s="143"/>
      <c r="E47" s="143"/>
      <c r="F47" s="153">
        <f>F19+F28+F33+F38+F41+F43+F45+F23+F21</f>
        <v>7348.8905583518863</v>
      </c>
    </row>
    <row r="48" spans="1:6" ht="5.25" customHeight="1" thickTop="1"/>
    <row r="49" spans="3:9" ht="15.75" thickBot="1">
      <c r="C49" s="1" t="s">
        <v>89</v>
      </c>
      <c r="F49" s="154">
        <v>0.3</v>
      </c>
      <c r="G49" s="154">
        <v>0.25</v>
      </c>
      <c r="H49" s="154">
        <v>0.2</v>
      </c>
      <c r="I49" s="154">
        <v>0.15</v>
      </c>
    </row>
    <row r="50" spans="3:9">
      <c r="C50" s="144"/>
      <c r="D50" s="155"/>
      <c r="E50" s="155"/>
      <c r="F50" s="155"/>
      <c r="G50" s="155"/>
      <c r="H50" s="155"/>
      <c r="I50" s="156"/>
    </row>
    <row r="51" spans="3:9" ht="16.5" thickBot="1">
      <c r="C51" s="160" t="s">
        <v>90</v>
      </c>
      <c r="D51" s="161"/>
      <c r="E51" s="161"/>
      <c r="F51" s="162">
        <f>$F$47/(1-F49)</f>
        <v>10498.415083359838</v>
      </c>
      <c r="G51" s="162">
        <f>$F$47/(1-G49)</f>
        <v>9798.5207444691823</v>
      </c>
      <c r="H51" s="163">
        <f t="shared" ref="H51:I51" si="0">$F$47/(1-H49)</f>
        <v>9186.1131979398579</v>
      </c>
      <c r="I51" s="164">
        <f t="shared" si="0"/>
        <v>8645.7535980610428</v>
      </c>
    </row>
    <row r="52" spans="3:9" ht="16.5" thickTop="1" thickBot="1">
      <c r="C52" s="145"/>
      <c r="D52" s="157"/>
      <c r="E52" s="157"/>
      <c r="F52" s="157"/>
      <c r="G52" s="157"/>
      <c r="H52" s="157"/>
      <c r="I52" s="158"/>
    </row>
  </sheetData>
  <mergeCells count="8">
    <mergeCell ref="G18:K18"/>
    <mergeCell ref="A11:C12"/>
    <mergeCell ref="D11:F12"/>
    <mergeCell ref="A1:D5"/>
    <mergeCell ref="A7:D8"/>
    <mergeCell ref="G15:H15"/>
    <mergeCell ref="G16:K16"/>
    <mergeCell ref="G17:K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COA</vt:lpstr>
      <vt:lpstr>BS and P&amp;L</vt:lpstr>
      <vt:lpstr>STEP 1 - Manpower Budget</vt:lpstr>
      <vt:lpstr>STEP 2 - Efficiency Budget</vt:lpstr>
      <vt:lpstr>STEP 3 - Cost Summary Template</vt:lpstr>
      <vt:lpstr>STEP 4 - Quotation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Rockafellow</dc:creator>
  <cp:lastModifiedBy>Jake Rockafellow</cp:lastModifiedBy>
  <dcterms:created xsi:type="dcterms:W3CDTF">2024-09-18T02:46:31Z</dcterms:created>
  <dcterms:modified xsi:type="dcterms:W3CDTF">2025-11-24T18:02:21Z</dcterms:modified>
</cp:coreProperties>
</file>